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n365-my.sharepoint.com/personal/linnea_becerra_state_mn_us/Documents/NHWSB/Meetings/05.09.2024/"/>
    </mc:Choice>
  </mc:AlternateContent>
  <xr:revisionPtr revIDLastSave="0" documentId="8_{3E86D4F3-83D8-4043-9D74-7DD65C479727}" xr6:coauthVersionLast="47" xr6:coauthVersionMax="47" xr10:uidLastSave="{00000000-0000-0000-0000-000000000000}"/>
  <bookViews>
    <workbookView xWindow="-108" yWindow="-108" windowWidth="23256" windowHeight="12576" xr2:uid="{B88C7970-16D8-445D-AC32-6A19407818F6}"/>
  </bookViews>
  <sheets>
    <sheet name="Narrative" sheetId="25" r:id="rId1"/>
    <sheet name="Fiscal Note" sheetId="16" r:id="rId2"/>
    <sheet name="Wage Floor Calculation" sheetId="15" r:id="rId3"/>
    <sheet name="Holiday Pay Calculation" sheetId="23" r:id="rId4"/>
    <sheet name="Assumptions" sheetId="21" r:id="rId5"/>
    <sheet name="Bill Description" sheetId="24" r:id="rId6"/>
    <sheet name="Managed Care" sheetId="20" r:id="rId7"/>
    <sheet name="Estimator data 120523" sheetId="10" state="hidden"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6" l="1"/>
  <c r="H84" i="16"/>
  <c r="F40" i="16"/>
  <c r="G40" i="16"/>
  <c r="H40" i="16"/>
  <c r="H20" i="16"/>
  <c r="H21" i="16"/>
  <c r="H22" i="16"/>
  <c r="F20" i="16"/>
  <c r="G20" i="16"/>
  <c r="F21" i="16"/>
  <c r="G21" i="16"/>
  <c r="F22" i="16"/>
  <c r="G22" i="16"/>
  <c r="E22" i="16"/>
  <c r="E20" i="16"/>
  <c r="E21" i="16"/>
  <c r="E46" i="23" l="1"/>
  <c r="E48" i="23" s="1"/>
  <c r="E44" i="23"/>
  <c r="E27" i="23"/>
  <c r="E24" i="23"/>
  <c r="E26" i="23" s="1"/>
  <c r="D24" i="23"/>
  <c r="D26" i="23" s="1"/>
  <c r="B18" i="23"/>
  <c r="C17" i="23"/>
  <c r="C18" i="23" s="1"/>
  <c r="D15" i="23"/>
  <c r="E14" i="23"/>
  <c r="D13" i="23"/>
  <c r="E12" i="23"/>
  <c r="E5" i="23"/>
  <c r="E33" i="23" s="1"/>
  <c r="E4" i="23"/>
  <c r="Y40" i="15"/>
  <c r="E11" i="23" l="1"/>
  <c r="D17" i="23"/>
  <c r="D18" i="23" l="1"/>
  <c r="E17" i="23"/>
  <c r="E18" i="23" s="1"/>
  <c r="E13" i="23"/>
  <c r="E15" i="23" s="1"/>
  <c r="E28" i="23" s="1"/>
  <c r="E32" i="23" l="1"/>
  <c r="E34" i="23" s="1"/>
  <c r="E36" i="23"/>
  <c r="E40" i="23" s="1"/>
  <c r="E42" i="23" s="1"/>
  <c r="E50" i="23" s="1"/>
  <c r="E20" i="23"/>
  <c r="B10" i="15" l="1"/>
  <c r="I90" i="15"/>
  <c r="H90" i="15"/>
  <c r="G90" i="15"/>
  <c r="F90" i="15"/>
  <c r="E90" i="15"/>
  <c r="D90" i="15"/>
  <c r="C90" i="15"/>
  <c r="B90" i="15"/>
  <c r="A85" i="15"/>
  <c r="L82" i="15"/>
  <c r="A82" i="15"/>
  <c r="A79" i="15"/>
  <c r="I78" i="15"/>
  <c r="J78" i="15" s="1"/>
  <c r="H78" i="15"/>
  <c r="G78" i="15"/>
  <c r="F78" i="15"/>
  <c r="E78" i="15"/>
  <c r="D78" i="15"/>
  <c r="D81" i="15" s="1"/>
  <c r="C78" i="15"/>
  <c r="B78" i="15"/>
  <c r="B81" i="15" s="1"/>
  <c r="B84" i="15" s="1"/>
  <c r="A76" i="15"/>
  <c r="D57" i="15"/>
  <c r="C57" i="15"/>
  <c r="B57" i="15"/>
  <c r="J55" i="15"/>
  <c r="J53" i="15"/>
  <c r="I53" i="15"/>
  <c r="H53" i="15"/>
  <c r="G53" i="15"/>
  <c r="F53" i="15"/>
  <c r="E53" i="15"/>
  <c r="D53" i="15"/>
  <c r="C53" i="15"/>
  <c r="B53" i="15"/>
  <c r="N52" i="15"/>
  <c r="P52" i="15" s="1"/>
  <c r="M52" i="15"/>
  <c r="N50" i="15"/>
  <c r="P50" i="15" s="1"/>
  <c r="M50" i="15"/>
  <c r="H49" i="15"/>
  <c r="C49" i="15"/>
  <c r="B49" i="15"/>
  <c r="A45" i="15"/>
  <c r="A42" i="15"/>
  <c r="L39" i="15"/>
  <c r="A39" i="15"/>
  <c r="Y36" i="15"/>
  <c r="A36" i="15"/>
  <c r="D35" i="15"/>
  <c r="D38" i="15" s="1"/>
  <c r="C35" i="15"/>
  <c r="E35" i="15" s="1"/>
  <c r="F35" i="15" s="1"/>
  <c r="G35" i="15" s="1"/>
  <c r="H35" i="15" s="1"/>
  <c r="I35" i="15" s="1"/>
  <c r="J35" i="15" s="1"/>
  <c r="B35" i="15"/>
  <c r="B38" i="15" s="1"/>
  <c r="B41" i="15" s="1"/>
  <c r="B44" i="15" s="1"/>
  <c r="A33" i="15"/>
  <c r="D32" i="15"/>
  <c r="O38" i="15" s="1"/>
  <c r="N38" i="15" s="1"/>
  <c r="P38" i="15" s="1"/>
  <c r="B32" i="15"/>
  <c r="M38" i="15" s="1"/>
  <c r="D14" i="15"/>
  <c r="C14" i="15"/>
  <c r="B14" i="15"/>
  <c r="O13" i="15"/>
  <c r="O12" i="15"/>
  <c r="O55" i="15" s="1"/>
  <c r="O11" i="15"/>
  <c r="O54" i="15" s="1"/>
  <c r="AA10" i="15"/>
  <c r="AA11" i="15" s="1"/>
  <c r="AA12" i="15" s="1"/>
  <c r="O10" i="15"/>
  <c r="O53" i="15" s="1"/>
  <c r="J10" i="15"/>
  <c r="I10" i="15"/>
  <c r="H10" i="15"/>
  <c r="G10" i="15"/>
  <c r="F10" i="15"/>
  <c r="E10" i="15"/>
  <c r="D10" i="15"/>
  <c r="C10" i="15"/>
  <c r="AA9" i="15"/>
  <c r="N9" i="15"/>
  <c r="M9" i="15"/>
  <c r="AA8" i="15"/>
  <c r="I8" i="15"/>
  <c r="G8" i="15"/>
  <c r="H8" i="15" s="1"/>
  <c r="H11" i="15" s="1"/>
  <c r="F8" i="15"/>
  <c r="E8" i="15"/>
  <c r="D8" i="15"/>
  <c r="C8" i="15"/>
  <c r="B8" i="15"/>
  <c r="AA7" i="15"/>
  <c r="N7" i="15"/>
  <c r="P7" i="15" s="1"/>
  <c r="M7" i="15"/>
  <c r="B7" i="15"/>
  <c r="J6" i="15"/>
  <c r="J49" i="15" s="1"/>
  <c r="I6" i="15"/>
  <c r="I49" i="15" s="1"/>
  <c r="G6" i="15"/>
  <c r="G49" i="15" s="1"/>
  <c r="F6" i="15"/>
  <c r="F49" i="15" s="1"/>
  <c r="E6" i="15"/>
  <c r="E49" i="15" s="1"/>
  <c r="D6" i="15"/>
  <c r="D49" i="15" s="1"/>
  <c r="D11" i="15" l="1"/>
  <c r="E11" i="15"/>
  <c r="M10" i="15"/>
  <c r="M53" i="15" s="1"/>
  <c r="C38" i="15"/>
  <c r="E38" i="15" s="1"/>
  <c r="F38" i="15" s="1"/>
  <c r="G38" i="15" s="1"/>
  <c r="H38" i="15" s="1"/>
  <c r="I38" i="15" s="1"/>
  <c r="J38" i="15" s="1"/>
  <c r="D41" i="15"/>
  <c r="D44" i="15" s="1"/>
  <c r="C44" i="15" s="1"/>
  <c r="E44" i="15" s="1"/>
  <c r="F44" i="15" s="1"/>
  <c r="G44" i="15" s="1"/>
  <c r="H44" i="15" s="1"/>
  <c r="I44" i="15" s="1"/>
  <c r="I11" i="15"/>
  <c r="M12" i="15"/>
  <c r="M55" i="15" s="1"/>
  <c r="C11" i="15"/>
  <c r="Y42" i="15"/>
  <c r="O16" i="15" s="1"/>
  <c r="M16" i="15" s="1"/>
  <c r="M60" i="15" s="1"/>
  <c r="M11" i="15"/>
  <c r="M54" i="15" s="1"/>
  <c r="N11" i="15"/>
  <c r="N54" i="15" s="1"/>
  <c r="F11" i="15"/>
  <c r="E32" i="15"/>
  <c r="G11" i="15"/>
  <c r="C32" i="15"/>
  <c r="C75" i="15" s="1"/>
  <c r="P9" i="15"/>
  <c r="O56" i="15"/>
  <c r="O57" i="15" s="1"/>
  <c r="N13" i="15"/>
  <c r="M13" i="15"/>
  <c r="M56" i="15" s="1"/>
  <c r="M57" i="15" s="1"/>
  <c r="B11" i="15"/>
  <c r="B75" i="15"/>
  <c r="M81" i="15" s="1"/>
  <c r="C81" i="15"/>
  <c r="E81" i="15" s="1"/>
  <c r="F81" i="15" s="1"/>
  <c r="G81" i="15" s="1"/>
  <c r="H81" i="15" s="1"/>
  <c r="I81" i="15" s="1"/>
  <c r="J81" i="15" s="1"/>
  <c r="D84" i="15"/>
  <c r="N12" i="15"/>
  <c r="N10" i="15"/>
  <c r="O14" i="15"/>
  <c r="J90" i="15"/>
  <c r="D75" i="15"/>
  <c r="O81" i="15" s="1"/>
  <c r="N81" i="15" s="1"/>
  <c r="P81" i="15" s="1"/>
  <c r="C41" i="15" l="1"/>
  <c r="E41" i="15" s="1"/>
  <c r="F41" i="15" s="1"/>
  <c r="G41" i="15" s="1"/>
  <c r="H41" i="15" s="1"/>
  <c r="I41" i="15" s="1"/>
  <c r="O58" i="15"/>
  <c r="P11" i="15"/>
  <c r="P54" i="15" s="1"/>
  <c r="N14" i="15"/>
  <c r="M58" i="15"/>
  <c r="N16" i="15"/>
  <c r="P16" i="15" s="1"/>
  <c r="O60" i="15"/>
  <c r="E75" i="15"/>
  <c r="F32" i="15"/>
  <c r="M44" i="15"/>
  <c r="J44" i="15"/>
  <c r="O44" i="15" s="1"/>
  <c r="N44" i="15" s="1"/>
  <c r="P44" i="15" s="1"/>
  <c r="N55" i="15"/>
  <c r="P12" i="15"/>
  <c r="P55" i="15" s="1"/>
  <c r="M14" i="15"/>
  <c r="C84" i="15"/>
  <c r="E84" i="15" s="1"/>
  <c r="F84" i="15" s="1"/>
  <c r="G84" i="15" s="1"/>
  <c r="H84" i="15" s="1"/>
  <c r="I84" i="15" s="1"/>
  <c r="N60" i="15"/>
  <c r="P60" i="15" s="1"/>
  <c r="N53" i="15"/>
  <c r="P10" i="15"/>
  <c r="P53" i="15" s="1"/>
  <c r="N56" i="15"/>
  <c r="N57" i="15" s="1"/>
  <c r="P13" i="15"/>
  <c r="P56" i="15" s="1"/>
  <c r="P57" i="15" s="1"/>
  <c r="J41" i="15"/>
  <c r="O41" i="15" s="1"/>
  <c r="N41" i="15" s="1"/>
  <c r="P41" i="15" s="1"/>
  <c r="M41" i="15"/>
  <c r="N58" i="15" l="1"/>
  <c r="F75" i="15"/>
  <c r="G32" i="15"/>
  <c r="P14" i="15"/>
  <c r="M84" i="15"/>
  <c r="J84" i="15"/>
  <c r="O84" i="15" s="1"/>
  <c r="N84" i="15" s="1"/>
  <c r="P84" i="15" s="1"/>
  <c r="P58" i="15"/>
  <c r="G75" i="15" l="1"/>
  <c r="H32" i="15"/>
  <c r="H75" i="15" l="1"/>
  <c r="I32" i="15"/>
  <c r="C3" i="15"/>
  <c r="B50" i="15" s="1"/>
  <c r="B3" i="15"/>
  <c r="D2" i="15"/>
  <c r="E2" i="15" l="1"/>
  <c r="D7" i="15" s="1"/>
  <c r="C7" i="15"/>
  <c r="J32" i="15"/>
  <c r="J75" i="15" s="1"/>
  <c r="I75" i="15"/>
  <c r="D3" i="15"/>
  <c r="C50" i="15" s="1"/>
  <c r="F2" i="15"/>
  <c r="E3" i="15"/>
  <c r="D50" i="15" s="1"/>
  <c r="G7" i="15" l="1"/>
  <c r="G14" i="15" s="1"/>
  <c r="H7" i="15"/>
  <c r="H14" i="15" s="1"/>
  <c r="H57" i="15" s="1"/>
  <c r="F7" i="15"/>
  <c r="I7" i="15"/>
  <c r="I14" i="15" s="1"/>
  <c r="E7" i="15"/>
  <c r="F3" i="15"/>
  <c r="E50" i="15" s="1"/>
  <c r="F50" i="15" s="1"/>
  <c r="G50" i="15" s="1"/>
  <c r="H50" i="15" l="1"/>
  <c r="I50" i="15" s="1"/>
  <c r="I57" i="15" s="1"/>
  <c r="G57" i="15"/>
  <c r="F30" i="16" l="1"/>
  <c r="H78" i="16" l="1"/>
  <c r="G78" i="16"/>
  <c r="F78" i="16"/>
  <c r="E78" i="16"/>
  <c r="H75" i="16"/>
  <c r="H89" i="16" s="1"/>
  <c r="G75" i="16"/>
  <c r="G89" i="16" s="1"/>
  <c r="C85" i="16" s="1"/>
  <c r="F75" i="16"/>
  <c r="F89" i="16" s="1"/>
  <c r="E75" i="16"/>
  <c r="E89" i="16" s="1"/>
  <c r="H70" i="16"/>
  <c r="G70" i="16"/>
  <c r="F70" i="16"/>
  <c r="E70" i="16"/>
  <c r="H45" i="16"/>
  <c r="G45" i="16"/>
  <c r="F45" i="16"/>
  <c r="E45" i="16"/>
  <c r="H44" i="16"/>
  <c r="G44" i="16"/>
  <c r="F44" i="16"/>
  <c r="E44" i="16"/>
  <c r="E85" i="16"/>
  <c r="G30" i="16"/>
  <c r="H30" i="16" s="1"/>
  <c r="E17" i="16"/>
  <c r="D17" i="16"/>
  <c r="H5" i="16"/>
  <c r="G5" i="16"/>
  <c r="F5" i="16"/>
  <c r="E5" i="16"/>
  <c r="F85" i="16" l="1"/>
  <c r="E40" i="16"/>
  <c r="G85" i="16"/>
  <c r="H85" i="16"/>
  <c r="D25" i="16" l="1"/>
  <c r="D26" i="16" s="1"/>
  <c r="E23" i="16"/>
  <c r="E25" i="16" s="1"/>
  <c r="E26" i="16" s="1"/>
  <c r="E31" i="16" l="1"/>
  <c r="E32" i="16" s="1"/>
  <c r="E33" i="16" s="1"/>
  <c r="E35" i="16" l="1"/>
  <c r="E34" i="16"/>
  <c r="E36" i="16" s="1"/>
  <c r="F15" i="16" l="1"/>
  <c r="F17" i="16" l="1"/>
  <c r="F23" i="16" l="1"/>
  <c r="F25" i="16" s="1"/>
  <c r="F26" i="16" s="1"/>
  <c r="F31" i="16" s="1"/>
  <c r="F32" i="16" s="1"/>
  <c r="F34" i="16" s="1"/>
  <c r="F36" i="16" s="1"/>
  <c r="F35" i="16" l="1"/>
  <c r="F33" i="16"/>
  <c r="F84" i="16"/>
  <c r="N6" i="15" l="1"/>
  <c r="O6" i="15"/>
  <c r="M6" i="15"/>
  <c r="O8" i="15" l="1"/>
  <c r="O15" i="15" s="1"/>
  <c r="O17" i="15" s="1"/>
  <c r="O49" i="15"/>
  <c r="O51" i="15" s="1"/>
  <c r="O59" i="15" s="1"/>
  <c r="O61" i="15" s="1"/>
  <c r="N49" i="15"/>
  <c r="N51" i="15" s="1"/>
  <c r="N59" i="15" s="1"/>
  <c r="N61" i="15" s="1"/>
  <c r="N8" i="15"/>
  <c r="N15" i="15" s="1"/>
  <c r="N17" i="15" s="1"/>
  <c r="M49" i="15"/>
  <c r="M8" i="15"/>
  <c r="M15" i="15" s="1"/>
  <c r="M17" i="15" s="1"/>
  <c r="P6" i="15"/>
  <c r="P8" i="15" s="1"/>
  <c r="P15" i="15" s="1"/>
  <c r="P17" i="15" s="1"/>
  <c r="M51" i="15" l="1"/>
  <c r="M59" i="15" s="1"/>
  <c r="M61" i="15" s="1"/>
  <c r="P49" i="15"/>
  <c r="P51" i="15" s="1"/>
  <c r="P59" i="15" s="1"/>
  <c r="P61" i="15" s="1"/>
  <c r="E21" i="15" l="1"/>
  <c r="E64" i="15" s="1"/>
  <c r="G22" i="15"/>
  <c r="G65" i="15" s="1"/>
  <c r="H22" i="15"/>
  <c r="H65" i="15" s="1"/>
  <c r="B61" i="15" l="1"/>
  <c r="D18" i="15"/>
  <c r="B18" i="15"/>
  <c r="C18" i="15" l="1"/>
  <c r="C61" i="15"/>
  <c r="D61" i="15" l="1"/>
  <c r="E61" i="15"/>
  <c r="E18" i="15"/>
  <c r="F18" i="15" l="1"/>
  <c r="F61" i="15"/>
  <c r="G61" i="15" l="1"/>
  <c r="G18" i="15"/>
  <c r="H18" i="15" l="1"/>
  <c r="H61" i="15"/>
  <c r="I61" i="15" l="1"/>
  <c r="I18" i="15"/>
  <c r="J61" i="15" l="1"/>
  <c r="J18" i="15"/>
  <c r="G80" i="16" l="1"/>
  <c r="H80" i="16" l="1"/>
  <c r="F80" i="16"/>
  <c r="E80" i="16" l="1"/>
  <c r="F49" i="16"/>
  <c r="F57" i="16" s="1"/>
  <c r="F65" i="16" s="1"/>
  <c r="F68" i="16" s="1"/>
  <c r="F88" i="16"/>
  <c r="E49" i="16" l="1"/>
  <c r="E57" i="16" s="1"/>
  <c r="E65" i="16" s="1"/>
  <c r="E68" i="16" s="1"/>
  <c r="E88" i="16"/>
  <c r="B51" i="15" l="1"/>
  <c r="B54" i="15" s="1"/>
  <c r="C17" i="15" l="1"/>
  <c r="C60" i="15"/>
  <c r="B17" i="15"/>
  <c r="B60" i="15"/>
  <c r="E57" i="15" l="1"/>
  <c r="F57" i="15"/>
  <c r="B52" i="15"/>
  <c r="B58" i="15"/>
  <c r="B59" i="15" s="1"/>
  <c r="B55" i="15" l="1"/>
  <c r="B70" i="15"/>
  <c r="B68" i="15"/>
  <c r="B69" i="15" s="1"/>
  <c r="B71" i="15" s="1"/>
  <c r="E22" i="15"/>
  <c r="E14" i="15"/>
  <c r="J14" i="15" s="1"/>
  <c r="J7" i="15" s="1"/>
  <c r="E65" i="15"/>
  <c r="J57" i="15"/>
  <c r="J50" i="15" s="1"/>
  <c r="F22" i="15"/>
  <c r="F65" i="15"/>
  <c r="F14" i="15"/>
  <c r="B56" i="15" l="1"/>
  <c r="M62" i="15" s="1"/>
  <c r="M63" i="15" s="1"/>
  <c r="B62" i="15"/>
  <c r="B73" i="15" s="1"/>
  <c r="M73" i="15" l="1"/>
  <c r="M82" i="15" s="1"/>
  <c r="M85" i="15" s="1"/>
  <c r="B76" i="15" l="1"/>
  <c r="B79" i="15" s="1"/>
  <c r="B82" i="15" s="1"/>
  <c r="B85" i="15" s="1"/>
  <c r="F15" i="15" l="1"/>
  <c r="F16" i="15" s="1"/>
  <c r="F25" i="15" s="1"/>
  <c r="F26" i="15" s="1"/>
  <c r="E15" i="15"/>
  <c r="E16" i="15" s="1"/>
  <c r="E25" i="15" s="1"/>
  <c r="E26" i="15" s="1"/>
  <c r="I17" i="15" l="1"/>
  <c r="I60" i="15"/>
  <c r="G17" i="15" l="1"/>
  <c r="H17" i="15" s="1"/>
  <c r="G60" i="15"/>
  <c r="H60" i="15" s="1"/>
  <c r="D60" i="15" l="1"/>
  <c r="D17" i="15"/>
  <c r="F60" i="15" l="1"/>
  <c r="F17" i="15"/>
  <c r="E60" i="15" l="1"/>
  <c r="E17" i="15"/>
  <c r="E51" i="15" l="1"/>
  <c r="E54" i="15" s="1"/>
  <c r="E9" i="15" l="1"/>
  <c r="C9" i="15"/>
  <c r="D51" i="15"/>
  <c r="D54" i="15" s="1"/>
  <c r="C51" i="15"/>
  <c r="C54" i="15" s="1"/>
  <c r="C27" i="15" l="1"/>
  <c r="C12" i="15"/>
  <c r="E12" i="15"/>
  <c r="E27" i="15"/>
  <c r="E28" i="15" s="1"/>
  <c r="D52" i="15"/>
  <c r="E52" i="15"/>
  <c r="C58" i="15"/>
  <c r="C59" i="15" s="1"/>
  <c r="C52" i="15"/>
  <c r="D9" i="15"/>
  <c r="E58" i="15"/>
  <c r="E59" i="15" s="1"/>
  <c r="E68" i="15" s="1"/>
  <c r="E69" i="15" s="1"/>
  <c r="D70" i="15" l="1"/>
  <c r="D55" i="15"/>
  <c r="C55" i="15"/>
  <c r="C70" i="15"/>
  <c r="C68" i="15"/>
  <c r="C69" i="15" s="1"/>
  <c r="C71" i="15" s="1"/>
  <c r="E13" i="15"/>
  <c r="E23" i="15" s="1"/>
  <c r="E19" i="15"/>
  <c r="D12" i="15"/>
  <c r="D27" i="15"/>
  <c r="E70" i="15"/>
  <c r="E71" i="15" s="1"/>
  <c r="E55" i="15"/>
  <c r="C13" i="15"/>
  <c r="N18" i="15" s="1"/>
  <c r="N19" i="15" s="1"/>
  <c r="N30" i="15" s="1"/>
  <c r="N39" i="15" s="1"/>
  <c r="N42" i="15" s="1"/>
  <c r="N45" i="15" s="1"/>
  <c r="D15" i="15"/>
  <c r="D16" i="15" s="1"/>
  <c r="D25" i="15" s="1"/>
  <c r="D26" i="15" s="1"/>
  <c r="D28" i="15" s="1"/>
  <c r="D58" i="15"/>
  <c r="D59" i="15" s="1"/>
  <c r="D68" i="15" s="1"/>
  <c r="D69" i="15" s="1"/>
  <c r="D71" i="15" s="1"/>
  <c r="B15" i="15"/>
  <c r="B16" i="15" s="1"/>
  <c r="E30" i="15" l="1"/>
  <c r="E33" i="15" s="1"/>
  <c r="E56" i="15"/>
  <c r="E66" i="15" s="1"/>
  <c r="E62" i="15"/>
  <c r="C56" i="15"/>
  <c r="N62" i="15" s="1"/>
  <c r="C62" i="15"/>
  <c r="C73" i="15" s="1"/>
  <c r="D56" i="15"/>
  <c r="O62" i="15" s="1"/>
  <c r="D62" i="15"/>
  <c r="B25" i="15"/>
  <c r="B26" i="15" s="1"/>
  <c r="D13" i="15"/>
  <c r="O18" i="15" s="1"/>
  <c r="O19" i="15" s="1"/>
  <c r="O30" i="15" s="1"/>
  <c r="O39" i="15" s="1"/>
  <c r="O42" i="15" s="1"/>
  <c r="O45" i="15" s="1"/>
  <c r="D19" i="15"/>
  <c r="D30" i="15" s="1"/>
  <c r="D33" i="15" s="1"/>
  <c r="N63" i="15" l="1"/>
  <c r="O63" i="15"/>
  <c r="O73" i="15" s="1"/>
  <c r="O82" i="15" s="1"/>
  <c r="O85" i="15" s="1"/>
  <c r="D73" i="15"/>
  <c r="D76" i="15" s="1"/>
  <c r="D79" i="15" s="1"/>
  <c r="D82" i="15" s="1"/>
  <c r="D85" i="15" s="1"/>
  <c r="E73" i="15"/>
  <c r="E76" i="15" s="1"/>
  <c r="E79" i="15" s="1"/>
  <c r="E82" i="15" s="1"/>
  <c r="E85" i="15" s="1"/>
  <c r="D36" i="15"/>
  <c r="D93" i="15"/>
  <c r="E36" i="15"/>
  <c r="E93" i="15"/>
  <c r="P63" i="15" l="1"/>
  <c r="N73" i="15"/>
  <c r="N82" i="15" s="1"/>
  <c r="N85" i="15" s="1"/>
  <c r="E96" i="15"/>
  <c r="E111" i="15" s="1"/>
  <c r="E39" i="15"/>
  <c r="P73" i="15"/>
  <c r="P82" i="15" s="1"/>
  <c r="P85" i="15" s="1"/>
  <c r="P62" i="15"/>
  <c r="D108" i="15"/>
  <c r="D39" i="15"/>
  <c r="D96" i="15"/>
  <c r="D111" i="15" s="1"/>
  <c r="E108" i="15"/>
  <c r="C76" i="15"/>
  <c r="C79" i="15" s="1"/>
  <c r="C82" i="15" s="1"/>
  <c r="C85" i="15" s="1"/>
  <c r="D42" i="15" l="1"/>
  <c r="D114" i="15"/>
  <c r="E114" i="15"/>
  <c r="E42" i="15"/>
  <c r="E117" i="15" l="1"/>
  <c r="E45" i="15"/>
  <c r="D45" i="15"/>
  <c r="D117" i="15"/>
  <c r="F51" i="15" l="1"/>
  <c r="F54" i="15" s="1"/>
  <c r="J51" i="15" l="1"/>
  <c r="F9" i="15"/>
  <c r="C15" i="15"/>
  <c r="C16" i="15" s="1"/>
  <c r="G51" i="15"/>
  <c r="J8" i="15"/>
  <c r="J11" i="15" s="1"/>
  <c r="F12" i="15" l="1"/>
  <c r="F27" i="15"/>
  <c r="F28" i="15" s="1"/>
  <c r="C25" i="15"/>
  <c r="C26" i="15" s="1"/>
  <c r="C28" i="15" s="1"/>
  <c r="C19" i="15"/>
  <c r="C30" i="15" s="1"/>
  <c r="C33" i="15" s="1"/>
  <c r="G54" i="15"/>
  <c r="H51" i="15"/>
  <c r="H54" i="15" s="1"/>
  <c r="J54" i="15"/>
  <c r="J52" i="15" s="1"/>
  <c r="J70" i="15" s="1"/>
  <c r="J56" i="15"/>
  <c r="G9" i="15"/>
  <c r="F52" i="15"/>
  <c r="I51" i="15"/>
  <c r="I54" i="15" s="1"/>
  <c r="F55" i="15" l="1"/>
  <c r="F70" i="15"/>
  <c r="C36" i="15"/>
  <c r="C93" i="15"/>
  <c r="G27" i="15"/>
  <c r="G12" i="15"/>
  <c r="H9" i="15"/>
  <c r="F13" i="15"/>
  <c r="F23" i="15" s="1"/>
  <c r="F19" i="15"/>
  <c r="G15" i="15"/>
  <c r="G52" i="15"/>
  <c r="F58" i="15"/>
  <c r="F59" i="15" s="1"/>
  <c r="G58" i="15"/>
  <c r="I9" i="15"/>
  <c r="H58" i="15" l="1"/>
  <c r="H59" i="15" s="1"/>
  <c r="H68" i="15" s="1"/>
  <c r="H69" i="15" s="1"/>
  <c r="G59" i="15"/>
  <c r="G68" i="15" s="1"/>
  <c r="G69" i="15" s="1"/>
  <c r="I12" i="15"/>
  <c r="I27" i="15"/>
  <c r="G70" i="15"/>
  <c r="G55" i="15"/>
  <c r="H52" i="15"/>
  <c r="F30" i="15"/>
  <c r="F33" i="15" s="1"/>
  <c r="H12" i="15"/>
  <c r="H27" i="15"/>
  <c r="G13" i="15"/>
  <c r="G23" i="15" s="1"/>
  <c r="F68" i="15"/>
  <c r="F69" i="15" s="1"/>
  <c r="F71" i="15" s="1"/>
  <c r="C108" i="15"/>
  <c r="C96" i="15"/>
  <c r="C39" i="15"/>
  <c r="H15" i="15"/>
  <c r="H16" i="15" s="1"/>
  <c r="H25" i="15" s="1"/>
  <c r="H26" i="15" s="1"/>
  <c r="H28" i="15" s="1"/>
  <c r="G16" i="15"/>
  <c r="F56" i="15"/>
  <c r="F66" i="15" s="1"/>
  <c r="F62" i="15"/>
  <c r="I15" i="15"/>
  <c r="I16" i="15" s="1"/>
  <c r="I25" i="15" s="1"/>
  <c r="I26" i="15" s="1"/>
  <c r="I28" i="15" s="1"/>
  <c r="I52" i="15"/>
  <c r="I58" i="15"/>
  <c r="I59" i="15" s="1"/>
  <c r="I68" i="15" s="1"/>
  <c r="I69" i="15" s="1"/>
  <c r="F73" i="15" l="1"/>
  <c r="F93" i="15"/>
  <c r="F108" i="15" s="1"/>
  <c r="F36" i="15"/>
  <c r="J59" i="15"/>
  <c r="H70" i="15"/>
  <c r="H71" i="15" s="1"/>
  <c r="H55" i="15"/>
  <c r="G56" i="15"/>
  <c r="G66" i="15" s="1"/>
  <c r="G62" i="15"/>
  <c r="G25" i="15"/>
  <c r="G26" i="15" s="1"/>
  <c r="G28" i="15" s="1"/>
  <c r="J16" i="15"/>
  <c r="G19" i="15"/>
  <c r="G30" i="15" s="1"/>
  <c r="G33" i="15" s="1"/>
  <c r="F76" i="15"/>
  <c r="F79" i="15" s="1"/>
  <c r="F82" i="15" s="1"/>
  <c r="F85" i="15" s="1"/>
  <c r="I70" i="15"/>
  <c r="I71" i="15" s="1"/>
  <c r="I55" i="15"/>
  <c r="C42" i="15"/>
  <c r="C114" i="15"/>
  <c r="I13" i="15"/>
  <c r="I19" i="15"/>
  <c r="I30" i="15" s="1"/>
  <c r="I33" i="15" s="1"/>
  <c r="H13" i="15"/>
  <c r="H23" i="15" s="1"/>
  <c r="H19" i="15"/>
  <c r="G71" i="15"/>
  <c r="C111" i="15"/>
  <c r="G73" i="15" l="1"/>
  <c r="I56" i="15"/>
  <c r="I62" i="15"/>
  <c r="H30" i="15"/>
  <c r="H33" i="15" s="1"/>
  <c r="G36" i="15"/>
  <c r="G93" i="15"/>
  <c r="H56" i="15"/>
  <c r="H66" i="15" s="1"/>
  <c r="H73" i="15" s="1"/>
  <c r="H62" i="15"/>
  <c r="I36" i="15"/>
  <c r="I93" i="15"/>
  <c r="I108" i="15" s="1"/>
  <c r="J68" i="15"/>
  <c r="J69" i="15" s="1"/>
  <c r="J71" i="15" s="1"/>
  <c r="J58" i="15"/>
  <c r="F96" i="15"/>
  <c r="F111" i="15" s="1"/>
  <c r="F39" i="15"/>
  <c r="J23" i="15"/>
  <c r="J25" i="15"/>
  <c r="J26" i="15" s="1"/>
  <c r="J15" i="15"/>
  <c r="C117" i="15"/>
  <c r="C45" i="15"/>
  <c r="I73" i="15" l="1"/>
  <c r="I76" i="15" s="1"/>
  <c r="H76" i="15"/>
  <c r="H79" i="15" s="1"/>
  <c r="H82" i="15" s="1"/>
  <c r="H85" i="15" s="1"/>
  <c r="F114" i="15"/>
  <c r="F42" i="15"/>
  <c r="G108" i="15"/>
  <c r="G39" i="15"/>
  <c r="G96" i="15"/>
  <c r="G111" i="15" s="1"/>
  <c r="H36" i="15"/>
  <c r="H93" i="15"/>
  <c r="G76" i="15"/>
  <c r="G79" i="15" s="1"/>
  <c r="G82" i="15" s="1"/>
  <c r="G85" i="15" s="1"/>
  <c r="I39" i="15"/>
  <c r="J62" i="15"/>
  <c r="J73" i="15" s="1"/>
  <c r="J76" i="15" s="1"/>
  <c r="J79" i="15" s="1"/>
  <c r="J82" i="15" s="1"/>
  <c r="J85" i="15" s="1"/>
  <c r="I79" i="15" l="1"/>
  <c r="I82" i="15" s="1"/>
  <c r="I85" i="15" s="1"/>
  <c r="I96" i="15"/>
  <c r="H108" i="15"/>
  <c r="H39" i="15"/>
  <c r="H96" i="15"/>
  <c r="H111" i="15" s="1"/>
  <c r="G42" i="15"/>
  <c r="G114" i="15"/>
  <c r="I42" i="15"/>
  <c r="I111" i="15"/>
  <c r="F45" i="15"/>
  <c r="F117" i="15"/>
  <c r="I114" i="15" l="1"/>
  <c r="I45" i="15"/>
  <c r="I117" i="15"/>
  <c r="G117" i="15"/>
  <c r="G45" i="15"/>
  <c r="H42" i="15"/>
  <c r="H114" i="15"/>
  <c r="H45" i="15" l="1"/>
  <c r="H117" i="15"/>
  <c r="J60" i="15" l="1"/>
  <c r="B9" i="15" l="1"/>
  <c r="B27" i="15" l="1"/>
  <c r="B28" i="15" s="1"/>
  <c r="B12" i="15"/>
  <c r="B19" i="15" l="1"/>
  <c r="B13" i="15"/>
  <c r="M18" i="15" s="1"/>
  <c r="M19" i="15" s="1"/>
  <c r="J12" i="15"/>
  <c r="J9" i="15" l="1"/>
  <c r="J27" i="15" s="1"/>
  <c r="J28" i="15" s="1"/>
  <c r="J13" i="15"/>
  <c r="M30" i="15"/>
  <c r="M39" i="15" s="1"/>
  <c r="M42" i="15" s="1"/>
  <c r="M45" i="15" s="1"/>
  <c r="P19" i="15"/>
  <c r="B30" i="15"/>
  <c r="B33" i="15" s="1"/>
  <c r="J19" i="15"/>
  <c r="J30" i="15" s="1"/>
  <c r="J17" i="15"/>
  <c r="B93" i="15" l="1"/>
  <c r="B36" i="15"/>
  <c r="P30" i="15"/>
  <c r="P39" i="15" s="1"/>
  <c r="P42" i="15" s="1"/>
  <c r="P45" i="15" s="1"/>
  <c r="P18" i="15"/>
  <c r="J33" i="15"/>
  <c r="J36" i="15" l="1"/>
  <c r="B96" i="15"/>
  <c r="B39" i="15"/>
  <c r="J93" i="15"/>
  <c r="G15" i="16" s="1"/>
  <c r="G17" i="16" s="1"/>
  <c r="B108" i="15"/>
  <c r="J108" i="15" s="1"/>
  <c r="J96" i="15" l="1"/>
  <c r="H15" i="16" s="1"/>
  <c r="H17" i="16" s="1"/>
  <c r="B42" i="15"/>
  <c r="B111" i="15"/>
  <c r="J111" i="15" s="1"/>
  <c r="J39" i="15"/>
  <c r="B45" i="15" l="1"/>
  <c r="J42" i="15"/>
  <c r="B114" i="15"/>
  <c r="J114" i="15" s="1"/>
  <c r="B117" i="15" l="1"/>
  <c r="J117" i="15" s="1"/>
  <c r="J45" i="15"/>
  <c r="G23" i="16"/>
  <c r="G25" i="16" s="1"/>
  <c r="G26" i="16" s="1"/>
  <c r="H23" i="16" l="1"/>
  <c r="H25" i="16" s="1"/>
  <c r="H26" i="16" s="1"/>
  <c r="H31" i="16" s="1"/>
  <c r="H32" i="16" s="1"/>
  <c r="G31" i="16"/>
  <c r="G32" i="16" s="1"/>
  <c r="H35" i="16" l="1"/>
  <c r="H34" i="16"/>
  <c r="H36" i="16" s="1"/>
  <c r="H33" i="16"/>
  <c r="G34" i="16"/>
  <c r="G36" i="16" s="1"/>
  <c r="G35" i="16"/>
  <c r="G33" i="16"/>
  <c r="H88" i="16" l="1"/>
  <c r="H49" i="16"/>
  <c r="H57" i="16" s="1"/>
  <c r="H65" i="16" s="1"/>
  <c r="H68" i="16" s="1"/>
  <c r="G88" i="16"/>
  <c r="G49" i="16"/>
  <c r="G57" i="16" s="1"/>
  <c r="G65" i="16" s="1"/>
  <c r="G68" i="16" s="1"/>
</calcChain>
</file>

<file path=xl/sharedStrings.xml><?xml version="1.0" encoding="utf-8"?>
<sst xmlns="http://schemas.openxmlformats.org/spreadsheetml/2006/main" count="436" uniqueCount="277">
  <si>
    <t>CNA</t>
  </si>
  <si>
    <t>G</t>
  </si>
  <si>
    <t>AK</t>
  </si>
  <si>
    <t>AX</t>
  </si>
  <si>
    <t>Dietary Salaries</t>
  </si>
  <si>
    <t>Changes in Vac/Sick</t>
  </si>
  <si>
    <t>Housekeeping Salaries</t>
  </si>
  <si>
    <t>All6114</t>
  </si>
  <si>
    <t>Dietary total</t>
  </si>
  <si>
    <t>ALL6317</t>
  </si>
  <si>
    <t>total</t>
  </si>
  <si>
    <t>ALL6517</t>
  </si>
  <si>
    <t>c6317</t>
  </si>
  <si>
    <t>c6517</t>
  </si>
  <si>
    <t>Total</t>
  </si>
  <si>
    <t>Total costs</t>
  </si>
  <si>
    <t>Based on February 2024 forecast</t>
  </si>
  <si>
    <t>FY 2024</t>
  </si>
  <si>
    <t>FY 2025</t>
  </si>
  <si>
    <t>FY 2026</t>
  </si>
  <si>
    <t>FY 2027</t>
  </si>
  <si>
    <t>Federal Share</t>
  </si>
  <si>
    <t>State share</t>
  </si>
  <si>
    <t>County Share</t>
  </si>
  <si>
    <t>Test</t>
  </si>
  <si>
    <t>FISCAL NOTE COMPUTATIONS</t>
  </si>
  <si>
    <t xml:space="preserve"> </t>
  </si>
  <si>
    <t>Total Annual Costs</t>
  </si>
  <si>
    <t>CY 2025</t>
  </si>
  <si>
    <t>CY 2026</t>
  </si>
  <si>
    <t>CY 2027</t>
  </si>
  <si>
    <t>Total Annual costs</t>
  </si>
  <si>
    <t>Total Annual Calendar Year Costs (in thousands)</t>
  </si>
  <si>
    <t>Conversion to State Fiscal Year (SFY) in thousands</t>
  </si>
  <si>
    <t>SFY payment delay</t>
  </si>
  <si>
    <t>Cost of Daily Rate Increases Fee-for-service</t>
  </si>
  <si>
    <t>Projected MA costs/(savings)</t>
  </si>
  <si>
    <t>Federal share</t>
  </si>
  <si>
    <t>State budget</t>
  </si>
  <si>
    <t>County share</t>
  </si>
  <si>
    <t>MA Grants (state budget) BACT 33 LF</t>
  </si>
  <si>
    <t>Administrative Costs - FTE</t>
  </si>
  <si>
    <t>Administrative Costs - IT Systems</t>
  </si>
  <si>
    <t>FFP on Administrative Costs FTEs</t>
  </si>
  <si>
    <t>FFP IT Systems</t>
  </si>
  <si>
    <t>Total Costs/(Savings)</t>
  </si>
  <si>
    <t>FMAP Percentage for FFS</t>
  </si>
  <si>
    <t>County percentages of the total for FFS</t>
  </si>
  <si>
    <t>Dollars (in thousands)</t>
  </si>
  <si>
    <t>FY2024</t>
  </si>
  <si>
    <t>FY2025</t>
  </si>
  <si>
    <r>
      <t>Expenditures</t>
    </r>
    <r>
      <rPr>
        <sz val="10"/>
        <rFont val="Arial"/>
        <family val="2"/>
      </rPr>
      <t xml:space="preserve"> </t>
    </r>
  </si>
  <si>
    <t>Fund 100</t>
  </si>
  <si>
    <t>Fund</t>
  </si>
  <si>
    <t>Less Agency Can Absorb</t>
  </si>
  <si>
    <t>Net Expenditures</t>
  </si>
  <si>
    <t>Revenues</t>
  </si>
  <si>
    <t>Net Cost &lt;Savings&gt;</t>
  </si>
  <si>
    <t>Total Cost &lt;Savings&gt; to the State</t>
  </si>
  <si>
    <t>Full-Time Equivalents</t>
  </si>
  <si>
    <t>Fund - General Fund - CCOA</t>
  </si>
  <si>
    <t>Total FTE</t>
  </si>
  <si>
    <t>Fiscal Tracking Summary ($000's)</t>
  </si>
  <si>
    <t>BACT</t>
  </si>
  <si>
    <t>Description</t>
  </si>
  <si>
    <t>GF</t>
  </si>
  <si>
    <t>33 LF</t>
  </si>
  <si>
    <t>MA NF Pymnt Sys changes</t>
  </si>
  <si>
    <t>Systems (Nursing Home)</t>
  </si>
  <si>
    <t>Rev1</t>
  </si>
  <si>
    <t>CCA Admin FFP for NFRP FTE</t>
  </si>
  <si>
    <t>Total Net Fiscal Impact</t>
  </si>
  <si>
    <t>Full Time Equivalents</t>
  </si>
  <si>
    <t>2022 Cost Report Days</t>
  </si>
  <si>
    <t>FY 2028</t>
  </si>
  <si>
    <t>FY 2029</t>
  </si>
  <si>
    <t>CY 2028</t>
  </si>
  <si>
    <t>CY 2029</t>
  </si>
  <si>
    <t>Estimated Increase to Nursing Facility Daily Rate</t>
  </si>
  <si>
    <t>February 2024 Forecast NF days</t>
  </si>
  <si>
    <t>Total Annual costs of Daily Rate Increase</t>
  </si>
  <si>
    <t>Increase to Rate Add-on</t>
  </si>
  <si>
    <t>Leave Day at .03 % of total payments</t>
  </si>
  <si>
    <t>Costs of Increases to Daily Rate Add-ons</t>
  </si>
  <si>
    <t>FY2026</t>
  </si>
  <si>
    <t>33 </t>
  </si>
  <si>
    <t>Rate Framework AC/ECS Rate Increase </t>
  </si>
  <si>
    <t>Elderly Managed Care Rates NF Add-on</t>
  </si>
  <si>
    <t>Rate Framework: MA LW EW Fee for Service </t>
  </si>
  <si>
    <t>Rate Framework: CCB&amp;DD Rates </t>
  </si>
  <si>
    <t>Systems Sections non-NF</t>
  </si>
  <si>
    <t>2026 Operating forecasted Percentage</t>
  </si>
  <si>
    <t>2027 Operating forecasted Percentage</t>
  </si>
  <si>
    <t>2028 Operating forecasted Percentage</t>
  </si>
  <si>
    <t>2029 Operating forecasted Percentage</t>
  </si>
  <si>
    <t>increase</t>
  </si>
  <si>
    <t>CY23</t>
  </si>
  <si>
    <t>CY24</t>
  </si>
  <si>
    <t xml:space="preserve">                  298.23 </t>
  </si>
  <si>
    <t>CY25</t>
  </si>
  <si>
    <t xml:space="preserve">                  310.32 </t>
  </si>
  <si>
    <t>CY26</t>
  </si>
  <si>
    <t xml:space="preserve">                  333.98 </t>
  </si>
  <si>
    <t>CY27</t>
  </si>
  <si>
    <t xml:space="preserve">                  340.59 </t>
  </si>
  <si>
    <t>ongoing</t>
  </si>
  <si>
    <t>Impact on Elderly Managed Care rates</t>
  </si>
  <si>
    <t xml:space="preserve"> Managed care rates for the elderly in the community are increased by a Nursing Facility Add-on as the plans pay for a limited number of NF days. It is assumed that the NF Add-on rates that MA pays to managed care plans would be increased to recognize the higher NF rates.</t>
  </si>
  <si>
    <t>Total annual cost/(savings)</t>
  </si>
  <si>
    <t>FY2023</t>
  </si>
  <si>
    <t>FY2027</t>
  </si>
  <si>
    <r>
      <t xml:space="preserve">MA Grants (state budget) </t>
    </r>
    <r>
      <rPr>
        <b/>
        <sz val="10"/>
        <rFont val="Arial"/>
        <family val="2"/>
      </rPr>
      <t xml:space="preserve">BACT 33 ED </t>
    </r>
    <r>
      <rPr>
        <sz val="10"/>
        <rFont val="Arial"/>
        <family val="2"/>
      </rPr>
      <t>(in 000s)</t>
    </r>
  </si>
  <si>
    <t>TMA</t>
  </si>
  <si>
    <t>2022 SNSA Costs</t>
  </si>
  <si>
    <t>2022 CPI-U</t>
  </si>
  <si>
    <t>2022 SNSA uninflated costs = based on 2020 wages</t>
  </si>
  <si>
    <t>inflation total</t>
  </si>
  <si>
    <t>30 Day enhanced rate at .40% of total payments</t>
  </si>
  <si>
    <t>Private Room add-on at 4.63% total payments</t>
  </si>
  <si>
    <t>New Growth</t>
  </si>
  <si>
    <t>with After Model</t>
  </si>
  <si>
    <t>CRY21</t>
  </si>
  <si>
    <t xml:space="preserve">                  284.23 </t>
  </si>
  <si>
    <t>22 costs to 23</t>
  </si>
  <si>
    <t>CRY22</t>
  </si>
  <si>
    <t>23 costs to 24</t>
  </si>
  <si>
    <t xml:space="preserve">CRY23 </t>
  </si>
  <si>
    <t>24 costs to 25</t>
  </si>
  <si>
    <t xml:space="preserve">CRY24 </t>
  </si>
  <si>
    <t>25 costs to 26</t>
  </si>
  <si>
    <t>CRY25</t>
  </si>
  <si>
    <t>26 costs to 27</t>
  </si>
  <si>
    <t>27 costs to 28</t>
  </si>
  <si>
    <t>Forecasted change in salaries for staff Impacted</t>
  </si>
  <si>
    <t>Floor base rate of pay</t>
  </si>
  <si>
    <t>Forecasted operating percentage for staff Impacted</t>
  </si>
  <si>
    <t>Increase in wages above forecast for staff Impacted</t>
  </si>
  <si>
    <t>Total 2022 cost report hours</t>
  </si>
  <si>
    <t># of hours impacted by the floor</t>
  </si>
  <si>
    <t>Total wage related costs for staff impacted</t>
  </si>
  <si>
    <t>Total dietary estimated contract/hospital salaries</t>
  </si>
  <si>
    <t>Estimated contract/hospital salary amounts</t>
  </si>
  <si>
    <t>Increase to contract costs</t>
  </si>
  <si>
    <t>Increase due to additional wage increase</t>
  </si>
  <si>
    <t>base fcst only</t>
  </si>
  <si>
    <t>Percentage of increase in wages above forecast for staff impacted</t>
  </si>
  <si>
    <t>2027 SNSA inflated costs - based on 2025 wages</t>
  </si>
  <si>
    <t>Percentage of Increase in wages above Forecast</t>
  </si>
  <si>
    <t>2024 Operating inflation</t>
  </si>
  <si>
    <t>2025 Operating inflation</t>
  </si>
  <si>
    <t>2027 SNSA uninflated costs - based on 2025 wages</t>
  </si>
  <si>
    <t xml:space="preserve">From IHS LATEST </t>
  </si>
  <si>
    <t>Average of the two (approximates April 1, 2023)</t>
  </si>
  <si>
    <t>Average of the two (approximates July 1, 2024)</t>
  </si>
  <si>
    <t>27-month inflation factor</t>
  </si>
  <si>
    <t>First quarter 2025 CPI-U index value</t>
  </si>
  <si>
    <t>Second quarter 2025 CPI-U index value</t>
  </si>
  <si>
    <t>Second quarter 2026 CPI-U index value</t>
  </si>
  <si>
    <t>Third quarter 2026 CPI-U index value</t>
  </si>
  <si>
    <t>1/1/27 CPI-U</t>
  </si>
  <si>
    <t>LPN</t>
  </si>
  <si>
    <t>Start date</t>
  </si>
  <si>
    <t>Floor 1</t>
  </si>
  <si>
    <t>Floor 2</t>
  </si>
  <si>
    <t>LPN Floor</t>
  </si>
  <si>
    <t>CNA Floor</t>
  </si>
  <si>
    <t>TMA Floor</t>
  </si>
  <si>
    <t>General Floor</t>
  </si>
  <si>
    <t>Laundry</t>
  </si>
  <si>
    <t>2021 Operating inflation</t>
  </si>
  <si>
    <t>2022 Operating inflation</t>
  </si>
  <si>
    <t>2023 Operating inflation</t>
  </si>
  <si>
    <t>2026 Operating inflation</t>
  </si>
  <si>
    <t>Total of both  Floors</t>
  </si>
  <si>
    <t>Cost Change 25 Rate Change 27</t>
  </si>
  <si>
    <t>Cost Change 26 Rate Change 28</t>
  </si>
  <si>
    <t>Cost Change 27 Rate Change 29</t>
  </si>
  <si>
    <t>Cost Change 27 Rate Change 30</t>
  </si>
  <si>
    <t>Cost Change 27 Rate Change 31</t>
  </si>
  <si>
    <t>FY2028</t>
  </si>
  <si>
    <t>FY2029</t>
  </si>
  <si>
    <t>Cumulative 22 - 25</t>
  </si>
  <si>
    <t>22 CR</t>
  </si>
  <si>
    <t>Admin</t>
  </si>
  <si>
    <t>Total Salaries</t>
  </si>
  <si>
    <t>Total Hours</t>
  </si>
  <si>
    <t>Average Wage</t>
  </si>
  <si>
    <t>Average Supplemental wage factor</t>
  </si>
  <si>
    <t>Average base wage</t>
  </si>
  <si>
    <t>Days In a year</t>
  </si>
  <si>
    <t>Hours per day</t>
  </si>
  <si>
    <t>Number of new holidays</t>
  </si>
  <si>
    <t>Total New Holiday hours</t>
  </si>
  <si>
    <t>Contract Costs</t>
  </si>
  <si>
    <t>Total Resident days</t>
  </si>
  <si>
    <t>Per day cost</t>
  </si>
  <si>
    <t>Forecast days 2025</t>
  </si>
  <si>
    <t>Taxes &amp; Benefits</t>
  </si>
  <si>
    <t>Total wage base taxes &amp; benefits</t>
  </si>
  <si>
    <t>Total Contract Costs</t>
  </si>
  <si>
    <t>Wage Floor Costs</t>
  </si>
  <si>
    <t>Total hours per day effected</t>
  </si>
  <si>
    <t>Additional Holiday Hours for 5.5 holidays</t>
  </si>
  <si>
    <t>Average change due to floor in holiday pay</t>
  </si>
  <si>
    <t>Total additional cost due to holiday pay</t>
  </si>
  <si>
    <t>* Highlighted employee class were calculated based on data from the Work Force Incentive grants - Laundry was calculated using calculations determined from housekeeping data</t>
  </si>
  <si>
    <t>**Starting year is highlighted for help in shifting costs to cost report periods</t>
  </si>
  <si>
    <t>Base costs</t>
  </si>
  <si>
    <t>All but Admin</t>
  </si>
  <si>
    <t>24 Inflated Costs</t>
  </si>
  <si>
    <t>Taxes &amp; Benefits Percentage</t>
  </si>
  <si>
    <t>Total Wage based costs except Admin forecasted for 2024 for all payers</t>
  </si>
  <si>
    <t>New Holiday Costs</t>
  </si>
  <si>
    <t>Total Employee wage cost for new Holidays for all payers</t>
  </si>
  <si>
    <t>Percentage of increase to employee wage costs to total costs</t>
  </si>
  <si>
    <t>Total Cost for new holidays for all payers</t>
  </si>
  <si>
    <t>Comparison of base costs to new holiday costs</t>
  </si>
  <si>
    <t>Total MA costs for new holidays</t>
  </si>
  <si>
    <t>Total MA costs for Wage based costs except Admin forecasted for 2024</t>
  </si>
  <si>
    <t>Percentage of increase to employee wage costs to total costs *</t>
  </si>
  <si>
    <t>Minimum Wages for most staff working in a nursing home, including contract workers, will be raised to the new standards.</t>
  </si>
  <si>
    <t xml:space="preserve">Average base rate of Pay 10/01/25 (2023 WFIG application data inflated to 2025) </t>
  </si>
  <si>
    <t xml:space="preserve">Average change in pay to bring to floor (2023 WFIG application data inflated to 2025) </t>
  </si>
  <si>
    <t>Percentage of staff impacted by the floor (based on 2023 WFIG Sample data staff counts)</t>
  </si>
  <si>
    <t>Supplemental wage factor (Average pay of 2023 WFIG compare to 2022 Cost Report inflated to 2025)</t>
  </si>
  <si>
    <t>Taxes &amp; benefits percentage (2022 cost report wage based taxes &amp; benefits compared to all salaries)</t>
  </si>
  <si>
    <t xml:space="preserve">Average base rate of Pay 10/01/26 (2023 WFIG application data inflated to 2026) </t>
  </si>
  <si>
    <t xml:space="preserve">Average change in pay to bring to floor (2023 WFIG application data inflated to 2026) </t>
  </si>
  <si>
    <t>Supplemental wage factor (Average pay of 2023 WFIG compare to 2022 Cost Report inflated to 2026)</t>
  </si>
  <si>
    <t xml:space="preserve">From the per diem impacts of the wage floors, an average impact on costs in Cost Report Year 2026 and forward are calculated.  These impacts lead to the MA rate impacts of  $2.55 in Calendar Year 2028 and $4.16 in Calendar year 2029.   These increases are applied to the forecasted MA days for CY 2028 and CY 2029 to calculate an impact on MA payments.  These costs are increased by about 5% due to rate add-ons that increase with base rate changes.  We also include a proportional impact on the NF Add-on paid to Managed Care plans.  </t>
  </si>
  <si>
    <t>The per diem impact of the 2nd wage floor, including taxes,benefits, supplemental wage factors and contracts, is estimated to be an additional 75 cents in Calendar Year 2027. It is assumed that these costs will increase each following year at the forecasted rate of cost inflation, 4.78%.</t>
  </si>
  <si>
    <t>Across All Groups</t>
  </si>
  <si>
    <t>Weighted Avg</t>
  </si>
  <si>
    <t>Various</t>
  </si>
  <si>
    <t>All other prof.</t>
  </si>
  <si>
    <t>CNAs</t>
  </si>
  <si>
    <t>TMAs</t>
  </si>
  <si>
    <t>LPNs</t>
  </si>
  <si>
    <t>Net of Forecast</t>
  </si>
  <si>
    <t>to get to Floor</t>
  </si>
  <si>
    <t>Hours Impacted</t>
  </si>
  <si>
    <t xml:space="preserve"> Prior to 1/1/27</t>
  </si>
  <si>
    <t>Jan 1 2027</t>
  </si>
  <si>
    <t>Wage Increase</t>
  </si>
  <si>
    <t xml:space="preserve">Percent of </t>
  </si>
  <si>
    <t>Average wage</t>
  </si>
  <si>
    <t>Wage Floor</t>
  </si>
  <si>
    <t xml:space="preserve">Average </t>
  </si>
  <si>
    <t>Estimated</t>
  </si>
  <si>
    <t>Hourly Wage Floor Impacts</t>
  </si>
  <si>
    <t>The following table shows impacts of the second wage floor implemented 1/1/27:</t>
  </si>
  <si>
    <t xml:space="preserve">Costs in Calendar Year 2027 are also impacted by increases in the wage floors. The impacts of the wage floor increases implemented 1/1/27 are calculated by first assuming that wages increase by the forecasted 4.78% in Cost Report Year 2026 (or are at least at the first wage floor), and those wages are then compared to the new 1/1/27 wage floor. This increase is smaller than the first wage floor and is mostly subsumed by expected current law increases.  </t>
  </si>
  <si>
    <t>The average wage increase necessary to meet the 1/1/26 wage floors, net of forecast, is estimated to be 96 cents for the 50.98% of hours which were below the floor. Wage increases require increases in taxes, benefits, supplemental wages and contracted labor; these costs add an additional 38% to costs. The Holiday standards add another 2% to costs.  Cost report data shows that on average 4.95 hours of these occupations are used per charged day, leading to a per diem impact of $3.40.  It is assumed that the per diem cost of the wage floors  will increase each following year at the forecasted rate of cost inflation, 4.78%.</t>
  </si>
  <si>
    <t>While the Holiday Pay Standard did not have a cost on its own, it will when implemented together with the wage floor. Because workers with wages below the wage floor see increases that are greater than the current law 4.78% cost increase, the Holiday Pay Standard can no longer be assumed to be subsumed by the forecast.  The cost will be for only  the 50.98% of hours that are paid for workers who are affected by the wage floor.</t>
  </si>
  <si>
    <t>Prior to 1/1/26</t>
  </si>
  <si>
    <t>Jan 1 2026</t>
  </si>
  <si>
    <t>Hours below</t>
  </si>
  <si>
    <t>The following table shows impacts of the first wage floor implemented 1/1/26:</t>
  </si>
  <si>
    <t xml:space="preserve">To provide an example: for LPN's, it is estimated that 10.27% of hours are paid for workers who would need a wage increase to get to the 1/1/26 $27 wage floor, with an average wage increase of $2.10. The average estimated wage before the wage floor across all LPNs is $28.81.  Forecast cost increases in Cost Report Year 2026 are 4.78%, which would be an average increase of $1.38.  Those below the wage floor will require an additional $2.10 - $1.38 = 73 cents to meet the wage floor.  It is this net increase of 73 cents for the 10.27% of LPN hours paid at wages below the wage floor that creates an additional cost impact in Cost Report Year 2026, resulting in higher MA payments in Rate Year 2028. </t>
  </si>
  <si>
    <t xml:space="preserve">To estimate the impact of wage floors for different occupation types, we use a sample of data collected in 2023 for Workforce Grant Applications.  This data provides detailed wage information. To estimate what these wages would be right before the first wage floor takes effect 1/1/26, the wages are inflated by two years of cost inflation that is assumed in the forecast (4.8%/4.78% per year).  For each occupational type, these estimated wages are compared to the 1/1/26 wage floor to determine the average wage increase required for those workers  below the wage floor.   We then compare the increases necessary to meet the wage floor to the cost increases already built into the forecast. Using this data together with cost report data, we estimate the percent of hours paid for workers below the wage floor to establish the base for any increases. </t>
  </si>
  <si>
    <t>2.Wage Floors</t>
  </si>
  <si>
    <t>We assume that the 0.655% increase necessary to meet the Holiday Pay Standard as of 1/1/26 would be subsumed in the 4.78% expected increase for Cost Report Year 2026 already built into the forecast, and so assess no cost for the Holiday Pay Standard alone.  This implies that Nursing Homes may forego other planned wage or benefit increases in order to provide the benefits required by the Holiday Pay Standard.</t>
  </si>
  <si>
    <t>We first consider the impact of the holiday pay standard, which would apply to most nursing home workers, except for some administrative staff.   There are no current industry-wide standards requiring a specific number of paid holidays. Data on paid holidays is not reported to DHS. We assume that currently nursing homes pay for an average of 5.5 holidays per year, and that the 11 day standard would result in an additional 5.5 holidays per year.    We use Cost Report Year 2022 data on nursing home salaries and hours, exempting Administrative staff salaries and hours, to calculate total hours per day for the affected staff, allowing us to calculate the total number of new holiday pay hours per year.   Holiday pay is understood to be 150% of regular pay, with additional taxes and benefits based on higher base pay.  The increased costs due to the additional holiday pay are estimated to be 0.655% of the base pay to the affected staff.</t>
  </si>
  <si>
    <t>1. Holiday Pay Standard</t>
  </si>
  <si>
    <t>This fiscal analysis only recognizes the direct impacts of these standards. It is generally recognized that wage floors create "spillover" impacts, or wage increases for those who are above but near the wage floor.  These impacts are considered to be indirect impacts in this fiscal analysis.</t>
  </si>
  <si>
    <t xml:space="preserve">These operating cost increases represent the employment expense (including but not limited to wages and benefits) increases expected under current law. We assume that wage and benefit increases required by the Workforce Standard Board have a cost only to the extent that they exceed the employment expense increases already assumed under current law. For purposes of this fiscal analysis, we further assume that these increases are proportionately uniform across occupational subgroups, and that when we identify cost increases for specific subgroups, those increases aren't offset by decreases for other subgroups. </t>
  </si>
  <si>
    <t>Fiscal impacts are assessed relative to the most recent DHS MA Nursing Facilities forecast, which runs through SFY2027. For purposes of this fiscal analysis, NF per diem increases for SFY2028 and beyond are assumed to be the same as SFY2027 per diem increases, and the number of NF paid days in SFY2028 and beyond are assumed to continue at the level of SFY2027. The forecast projects operating cost increases in order to estimate MA per diems.  Operating costs are projected to increase 4.8% per year in Cost Report Year 2024 and 4.78% in Cost Report Year 2025 (the last year used in the forecast); for purposes of this fiscal note costs are assumed to continue to increase at 4.78% in Cost Report Year 2026 and after.</t>
  </si>
  <si>
    <t xml:space="preserve">The primary fiscal impact of these standards will result from higher MA per diems for care in nursing homes. The operating rates that MA pays for nursing home care are calculated from the operating costs that nursing homes report for the cost year ending 15 months prior to the beginning of the rate year; e.g. operating rates for Calendar Year 2028 are determined by the costs reported in Cost Report Year 2026 (October 1, 2025-September 30, 2026).  Therefore the additional costs that nursing homes incur through meeting these standards beginning 1/1/26 will be reflected in higher MA operating rates beginning 1/1/28.  </t>
  </si>
  <si>
    <t>Effective</t>
  </si>
  <si>
    <t>Hourly Wage Floors</t>
  </si>
  <si>
    <t>2.Hourly wage floors for various employee professions as shown in the table below:</t>
  </si>
  <si>
    <t>1.Holiday pay for 11 holidays specified by the Board, effective January 1, 2026</t>
  </si>
  <si>
    <t>This fiscal analysis provides estimated MA payment impacts of the following Nursing Home Workforce Standards Boards scenario:</t>
  </si>
  <si>
    <t>Fiscal Analysis of Workforce Standards Board Scenario</t>
  </si>
  <si>
    <t>MEDICAL ASSISTANCE</t>
  </si>
  <si>
    <t>Minnesota</t>
  </si>
  <si>
    <t>*Forecast for 2025 is 4.78%, the .0676% increase caused by the new holidays is assumed to be offset by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</si>
</sst>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000_);_(&quot;$&quot;* \(#,##0.000\);_(&quot;$&quot;* &quot;-&quot;??_);_(@_)"/>
    <numFmt numFmtId="167" formatCode="_(* #,##0.0_);_(* \(#,##0.0\);_(* &quot;-&quot;??_);_(@_)"/>
    <numFmt numFmtId="168" formatCode="0.000%"/>
    <numFmt numFmtId="169" formatCode="&quot;$&quot;#,##0.00"/>
    <numFmt numFmtId="170" formatCode="&quot;$&quot;#,##0"/>
  </numFmts>
  <fonts count="23"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8"/>
      <name val="Calibri"/>
      <family val="2"/>
      <scheme val="minor"/>
    </font>
    <font>
      <sz val="10"/>
      <color theme="1"/>
      <name val="Arial"/>
      <family val="2"/>
    </font>
    <font>
      <sz val="12"/>
      <color theme="1"/>
      <name val="Palatino Linotype"/>
      <family val="2"/>
    </font>
    <font>
      <sz val="10"/>
      <name val="Arial"/>
      <family val="2"/>
    </font>
    <font>
      <b/>
      <sz val="10"/>
      <name val="Arial"/>
      <family val="2"/>
    </font>
    <font>
      <sz val="10"/>
      <color theme="1"/>
      <name val="Calibri"/>
      <family val="2"/>
      <scheme val="minor"/>
    </font>
    <font>
      <b/>
      <sz val="10"/>
      <color theme="9" tint="-0.249977111117893"/>
      <name val="Arial"/>
      <family val="2"/>
    </font>
    <font>
      <sz val="10"/>
      <color theme="1"/>
      <name val="Times New Roman"/>
      <family val="1"/>
    </font>
    <font>
      <sz val="11"/>
      <color rgb="FF000000"/>
      <name val="Calibri"/>
      <family val="2"/>
    </font>
    <font>
      <sz val="12"/>
      <color theme="1"/>
      <name val="Times New Roman"/>
      <family val="1"/>
    </font>
    <font>
      <u/>
      <sz val="10"/>
      <name val="Arial"/>
      <family val="2"/>
    </font>
    <font>
      <sz val="8"/>
      <color rgb="FF000000"/>
      <name val="Arial"/>
      <family val="2"/>
    </font>
    <font>
      <b/>
      <sz val="8"/>
      <color rgb="FF000000"/>
      <name val="Arial"/>
      <family val="2"/>
    </font>
    <font>
      <sz val="8"/>
      <color theme="1"/>
      <name val="Arial"/>
      <family val="2"/>
    </font>
    <font>
      <sz val="8"/>
      <name val="Arial"/>
      <family val="2"/>
    </font>
    <font>
      <sz val="12"/>
      <name val="Arial"/>
      <family val="2"/>
    </font>
    <font>
      <b/>
      <sz val="12"/>
      <name val="Arial"/>
      <family val="2"/>
    </font>
    <font>
      <sz val="12"/>
      <color theme="1"/>
      <name val="Arial"/>
      <family val="2"/>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C6E0B4"/>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1" fillId="0" borderId="0"/>
  </cellStyleXfs>
  <cellXfs count="184">
    <xf numFmtId="0" fontId="0" fillId="0" borderId="0" xfId="0"/>
    <xf numFmtId="44" fontId="0" fillId="0" borderId="0" xfId="2" applyFont="1"/>
    <xf numFmtId="164" fontId="0" fillId="0" borderId="0" xfId="1" applyNumberFormat="1" applyFont="1"/>
    <xf numFmtId="43" fontId="0" fillId="0" borderId="0" xfId="1" applyFont="1"/>
    <xf numFmtId="0" fontId="2" fillId="0" borderId="0" xfId="0" applyFont="1"/>
    <xf numFmtId="0" fontId="0" fillId="0" borderId="0" xfId="0" applyAlignment="1">
      <alignment wrapText="1"/>
    </xf>
    <xf numFmtId="165" fontId="0" fillId="0" borderId="0" xfId="2" applyNumberFormat="1" applyFont="1"/>
    <xf numFmtId="44" fontId="0" fillId="0" borderId="0" xfId="0" applyNumberFormat="1"/>
    <xf numFmtId="10" fontId="0" fillId="0" borderId="0" xfId="3" applyNumberFormat="1" applyFont="1"/>
    <xf numFmtId="164" fontId="0" fillId="0" borderId="0" xfId="0" applyNumberFormat="1"/>
    <xf numFmtId="10" fontId="0" fillId="0" borderId="0" xfId="0" applyNumberFormat="1"/>
    <xf numFmtId="0" fontId="5" fillId="0" borderId="1" xfId="0" applyFont="1" applyBorder="1" applyAlignment="1">
      <alignment horizontal="center"/>
    </xf>
    <xf numFmtId="166" fontId="5" fillId="0" borderId="1" xfId="0" applyNumberFormat="1" applyFont="1" applyBorder="1" applyAlignment="1">
      <alignment horizontal="center"/>
    </xf>
    <xf numFmtId="0" fontId="5" fillId="0" borderId="1" xfId="0" applyFont="1" applyBorder="1"/>
    <xf numFmtId="0" fontId="5" fillId="0" borderId="1" xfId="0" applyFont="1" applyBorder="1" applyAlignment="1">
      <alignment horizontal="right"/>
    </xf>
    <xf numFmtId="0" fontId="5" fillId="0" borderId="0" xfId="0" applyFont="1"/>
    <xf numFmtId="166" fontId="5" fillId="0" borderId="0" xfId="0" applyNumberFormat="1" applyFont="1"/>
    <xf numFmtId="0" fontId="7" fillId="0" borderId="1" xfId="5" applyFont="1" applyBorder="1" applyAlignment="1" applyProtection="1">
      <alignment horizontal="left"/>
      <protection locked="0"/>
    </xf>
    <xf numFmtId="166" fontId="7" fillId="0" borderId="1" xfId="1" applyNumberFormat="1" applyFont="1" applyFill="1" applyBorder="1" applyAlignment="1" applyProtection="1">
      <alignment horizontal="right" vertical="top"/>
      <protection locked="0"/>
    </xf>
    <xf numFmtId="0" fontId="5" fillId="0" borderId="0" xfId="6" applyFont="1"/>
    <xf numFmtId="0" fontId="8" fillId="0" borderId="1" xfId="5" applyFont="1" applyBorder="1" applyAlignment="1" applyProtection="1">
      <alignment horizontal="left"/>
      <protection locked="0"/>
    </xf>
    <xf numFmtId="165" fontId="7" fillId="0" borderId="1" xfId="2" applyNumberFormat="1" applyFont="1" applyFill="1" applyBorder="1" applyAlignment="1" applyProtection="1">
      <alignment horizontal="right" vertical="top"/>
      <protection locked="0"/>
    </xf>
    <xf numFmtId="0" fontId="5" fillId="0" borderId="1" xfId="0" applyFont="1" applyBorder="1" applyAlignment="1">
      <alignment horizontal="left"/>
    </xf>
    <xf numFmtId="165" fontId="5" fillId="0" borderId="1" xfId="0" applyNumberFormat="1" applyFont="1" applyBorder="1"/>
    <xf numFmtId="0" fontId="8" fillId="0" borderId="1" xfId="5" applyFont="1" applyBorder="1" applyProtection="1">
      <protection locked="0"/>
    </xf>
    <xf numFmtId="166" fontId="8" fillId="0" borderId="1" xfId="5" applyNumberFormat="1" applyFont="1" applyBorder="1" applyAlignment="1" applyProtection="1">
      <alignment horizontal="center"/>
      <protection locked="0"/>
    </xf>
    <xf numFmtId="0" fontId="7" fillId="0" borderId="1" xfId="5" applyFont="1" applyBorder="1" applyProtection="1">
      <protection locked="0"/>
    </xf>
    <xf numFmtId="10" fontId="7" fillId="0" borderId="1" xfId="3" applyNumberFormat="1" applyFont="1" applyFill="1" applyBorder="1" applyAlignment="1" applyProtection="1">
      <alignment horizontal="right" vertical="top"/>
      <protection locked="0"/>
    </xf>
    <xf numFmtId="165" fontId="7" fillId="0" borderId="1" xfId="1" applyNumberFormat="1" applyFont="1" applyFill="1" applyBorder="1" applyAlignment="1" applyProtection="1">
      <alignment horizontal="right" vertical="top"/>
      <protection locked="0"/>
    </xf>
    <xf numFmtId="165" fontId="7" fillId="0" borderId="1" xfId="1" applyNumberFormat="1" applyFont="1" applyBorder="1" applyAlignment="1" applyProtection="1">
      <alignment horizontal="right" vertical="top"/>
      <protection locked="0"/>
    </xf>
    <xf numFmtId="0" fontId="7" fillId="0" borderId="1" xfId="5" applyFont="1" applyBorder="1" applyAlignment="1" applyProtection="1">
      <alignment horizontal="right"/>
      <protection locked="0"/>
    </xf>
    <xf numFmtId="0" fontId="7" fillId="0" borderId="1" xfId="5" applyFont="1" applyBorder="1" applyAlignment="1" applyProtection="1">
      <alignment wrapText="1"/>
      <protection locked="0"/>
    </xf>
    <xf numFmtId="0" fontId="9" fillId="0" borderId="0" xfId="0" applyFont="1"/>
    <xf numFmtId="0" fontId="7" fillId="0" borderId="0" xfId="6" applyFont="1" applyProtection="1">
      <protection locked="0"/>
    </xf>
    <xf numFmtId="166" fontId="7" fillId="0" borderId="0" xfId="7" applyNumberFormat="1" applyFont="1" applyAlignment="1" applyProtection="1">
      <alignment horizontal="right" vertical="top"/>
      <protection locked="0"/>
    </xf>
    <xf numFmtId="0" fontId="7" fillId="0" borderId="1" xfId="6" applyFont="1" applyBorder="1" applyAlignment="1" applyProtection="1">
      <alignment horizontal="right" vertical="center" wrapText="1"/>
      <protection locked="0"/>
    </xf>
    <xf numFmtId="166" fontId="8" fillId="0" borderId="1" xfId="6" applyNumberFormat="1" applyFont="1" applyBorder="1" applyAlignment="1" applyProtection="1">
      <alignment horizontal="center" vertical="center" wrapText="1"/>
      <protection locked="0"/>
    </xf>
    <xf numFmtId="0" fontId="8" fillId="0" borderId="1" xfId="6" applyFont="1" applyBorder="1" applyAlignment="1" applyProtection="1">
      <alignment vertical="center" wrapText="1"/>
      <protection locked="0"/>
    </xf>
    <xf numFmtId="166" fontId="7" fillId="0" borderId="1" xfId="7" applyNumberFormat="1" applyFont="1" applyBorder="1" applyAlignment="1" applyProtection="1">
      <alignment horizontal="right" vertical="top"/>
      <protection locked="0"/>
    </xf>
    <xf numFmtId="0" fontId="7" fillId="0" borderId="1" xfId="6" applyFont="1" applyBorder="1" applyAlignment="1" applyProtection="1">
      <alignment horizontal="left" vertical="center" wrapText="1" indent="1"/>
      <protection locked="0"/>
    </xf>
    <xf numFmtId="165" fontId="7" fillId="0" borderId="1" xfId="7" applyNumberFormat="1" applyFont="1" applyBorder="1" applyAlignment="1" applyProtection="1">
      <alignment horizontal="right" vertical="top"/>
      <protection locked="0"/>
    </xf>
    <xf numFmtId="0" fontId="10" fillId="0" borderId="1" xfId="6" applyFont="1" applyBorder="1" applyAlignment="1" applyProtection="1">
      <alignment horizontal="left" vertical="center" wrapText="1" indent="1"/>
      <protection locked="0"/>
    </xf>
    <xf numFmtId="0" fontId="8" fillId="0" borderId="1" xfId="6" applyFont="1" applyBorder="1" applyAlignment="1" applyProtection="1">
      <alignment horizontal="left" vertical="center" wrapText="1" indent="1"/>
      <protection locked="0"/>
    </xf>
    <xf numFmtId="0" fontId="7" fillId="0" borderId="1" xfId="6" applyFont="1" applyBorder="1" applyAlignment="1" applyProtection="1">
      <alignment vertical="center" wrapText="1"/>
      <protection locked="0"/>
    </xf>
    <xf numFmtId="166" fontId="7" fillId="0" borderId="0" xfId="6" applyNumberFormat="1" applyFont="1" applyProtection="1">
      <protection locked="0"/>
    </xf>
    <xf numFmtId="166" fontId="8" fillId="0" borderId="1" xfId="7" applyNumberFormat="1" applyFont="1" applyBorder="1" applyAlignment="1" applyProtection="1">
      <alignment vertical="top" wrapText="1"/>
      <protection locked="0"/>
    </xf>
    <xf numFmtId="0" fontId="8" fillId="0" borderId="1" xfId="6" applyFont="1" applyBorder="1" applyAlignment="1" applyProtection="1">
      <alignment horizontal="right" vertical="center" wrapText="1"/>
      <protection locked="0"/>
    </xf>
    <xf numFmtId="0" fontId="0" fillId="3" borderId="4" xfId="0" applyFill="1" applyBorder="1"/>
    <xf numFmtId="0" fontId="0" fillId="3" borderId="5" xfId="0" applyFill="1" applyBorder="1"/>
    <xf numFmtId="166" fontId="0" fillId="3" borderId="5" xfId="0" applyNumberFormat="1" applyFill="1" applyBorder="1"/>
    <xf numFmtId="166" fontId="0" fillId="3" borderId="2" xfId="0" applyNumberFormat="1" applyFill="1" applyBorder="1"/>
    <xf numFmtId="0" fontId="8" fillId="0" borderId="6" xfId="6" applyFont="1" applyBorder="1" applyAlignment="1" applyProtection="1">
      <alignment horizontal="center"/>
      <protection locked="0"/>
    </xf>
    <xf numFmtId="0" fontId="8" fillId="0" borderId="3" xfId="6" applyFont="1" applyBorder="1" applyAlignment="1" applyProtection="1">
      <alignment horizontal="center"/>
      <protection locked="0"/>
    </xf>
    <xf numFmtId="166" fontId="8" fillId="0" borderId="3" xfId="6" applyNumberFormat="1" applyFont="1" applyBorder="1" applyAlignment="1" applyProtection="1">
      <alignment horizontal="center"/>
      <protection locked="0"/>
    </xf>
    <xf numFmtId="0" fontId="7" fillId="0" borderId="7" xfId="6" applyFont="1" applyBorder="1" applyAlignment="1" applyProtection="1">
      <alignment horizontal="center"/>
      <protection locked="0"/>
    </xf>
    <xf numFmtId="0" fontId="7" fillId="0" borderId="1" xfId="6" applyFont="1" applyBorder="1" applyAlignment="1" applyProtection="1">
      <alignment horizontal="center"/>
      <protection locked="0"/>
    </xf>
    <xf numFmtId="0" fontId="7" fillId="0" borderId="1" xfId="6" applyFont="1" applyBorder="1" applyProtection="1">
      <protection locked="0"/>
    </xf>
    <xf numFmtId="0" fontId="8" fillId="0" borderId="1" xfId="6" applyFont="1" applyBorder="1" applyAlignment="1" applyProtection="1">
      <alignment horizontal="right"/>
      <protection locked="0"/>
    </xf>
    <xf numFmtId="0" fontId="7" fillId="0" borderId="8" xfId="6" applyFont="1" applyBorder="1" applyProtection="1">
      <protection locked="0"/>
    </xf>
    <xf numFmtId="0" fontId="7" fillId="0" borderId="9" xfId="6" applyFont="1" applyBorder="1" applyProtection="1">
      <protection locked="0"/>
    </xf>
    <xf numFmtId="0" fontId="8" fillId="0" borderId="9" xfId="6" applyFont="1" applyBorder="1" applyProtection="1">
      <protection locked="0"/>
    </xf>
    <xf numFmtId="44" fontId="7" fillId="0" borderId="9" xfId="7" applyNumberFormat="1" applyFont="1" applyBorder="1" applyAlignment="1" applyProtection="1">
      <alignment horizontal="right" vertical="top"/>
      <protection locked="0"/>
    </xf>
    <xf numFmtId="166" fontId="7" fillId="0" borderId="0" xfId="7" applyNumberFormat="1" applyFont="1" applyBorder="1" applyAlignment="1" applyProtection="1">
      <alignment horizontal="right" vertical="top"/>
      <protection locked="0"/>
    </xf>
    <xf numFmtId="166" fontId="0" fillId="0" borderId="0" xfId="0" applyNumberFormat="1"/>
    <xf numFmtId="10" fontId="5" fillId="0" borderId="1" xfId="3" applyNumberFormat="1" applyFont="1" applyBorder="1"/>
    <xf numFmtId="166" fontId="8" fillId="0" borderId="1" xfId="1" applyNumberFormat="1" applyFont="1" applyFill="1" applyBorder="1" applyAlignment="1" applyProtection="1">
      <alignment horizontal="right" vertical="top"/>
      <protection locked="0"/>
    </xf>
    <xf numFmtId="44" fontId="7" fillId="0" borderId="1" xfId="2" applyFont="1" applyFill="1" applyBorder="1" applyAlignment="1" applyProtection="1">
      <alignment horizontal="right" vertical="top"/>
      <protection locked="0"/>
    </xf>
    <xf numFmtId="37" fontId="7" fillId="0" borderId="1" xfId="1" applyNumberFormat="1" applyFont="1" applyFill="1" applyBorder="1" applyAlignment="1" applyProtection="1">
      <alignment horizontal="right" vertical="top"/>
      <protection locked="0"/>
    </xf>
    <xf numFmtId="9" fontId="7" fillId="0" borderId="1" xfId="5" applyNumberFormat="1" applyFont="1" applyBorder="1" applyProtection="1">
      <protection locked="0"/>
    </xf>
    <xf numFmtId="43" fontId="7" fillId="0" borderId="1" xfId="1" applyFont="1" applyBorder="1" applyAlignment="1" applyProtection="1">
      <alignment vertical="top" wrapText="1"/>
      <protection locked="0"/>
    </xf>
    <xf numFmtId="167" fontId="7" fillId="0" borderId="1" xfId="1" applyNumberFormat="1" applyFont="1" applyBorder="1" applyAlignment="1" applyProtection="1">
      <alignment vertical="top" wrapText="1"/>
      <protection locked="0"/>
    </xf>
    <xf numFmtId="167" fontId="7" fillId="0" borderId="1" xfId="1" applyNumberFormat="1" applyFont="1" applyBorder="1" applyAlignment="1" applyProtection="1">
      <alignment horizontal="right" vertical="top"/>
      <protection locked="0"/>
    </xf>
    <xf numFmtId="165" fontId="0" fillId="0" borderId="0" xfId="0" applyNumberFormat="1"/>
    <xf numFmtId="14" fontId="0" fillId="0" borderId="0" xfId="0" applyNumberFormat="1"/>
    <xf numFmtId="0" fontId="3" fillId="0" borderId="0" xfId="0" applyFont="1"/>
    <xf numFmtId="165" fontId="0" fillId="0" borderId="0" xfId="2" applyNumberFormat="1" applyFont="1" applyFill="1"/>
    <xf numFmtId="0" fontId="0" fillId="0" borderId="0" xfId="0" applyAlignment="1">
      <alignment vertical="center"/>
    </xf>
    <xf numFmtId="0" fontId="11" fillId="0" borderId="0" xfId="0" applyFont="1"/>
    <xf numFmtId="0" fontId="12" fillId="0" borderId="0" xfId="0" applyFont="1" applyAlignment="1">
      <alignment vertical="center"/>
    </xf>
    <xf numFmtId="0" fontId="13" fillId="0" borderId="0" xfId="0" applyFont="1" applyAlignment="1">
      <alignment horizontal="left" vertical="center" wrapText="1"/>
    </xf>
    <xf numFmtId="0" fontId="8" fillId="0" borderId="0" xfId="5" applyFont="1" applyProtection="1">
      <protection locked="0"/>
    </xf>
    <xf numFmtId="0" fontId="14" fillId="0" borderId="0" xfId="5" applyFont="1" applyAlignment="1" applyProtection="1">
      <alignment horizontal="center"/>
      <protection locked="0"/>
    </xf>
    <xf numFmtId="0" fontId="7" fillId="0" borderId="0" xfId="5" applyFont="1" applyAlignment="1" applyProtection="1">
      <alignment horizontal="left"/>
      <protection locked="0"/>
    </xf>
    <xf numFmtId="164" fontId="7" fillId="0" borderId="0" xfId="1" applyNumberFormat="1" applyFont="1" applyFill="1" applyAlignment="1" applyProtection="1">
      <alignment horizontal="right" vertical="top"/>
      <protection locked="0"/>
    </xf>
    <xf numFmtId="9" fontId="0" fillId="0" borderId="0" xfId="0" applyNumberFormat="1"/>
    <xf numFmtId="165" fontId="0" fillId="0" borderId="0" xfId="2" applyNumberFormat="1" applyFont="1" applyAlignment="1">
      <alignment horizontal="right"/>
    </xf>
    <xf numFmtId="165" fontId="0" fillId="0" borderId="0" xfId="0" applyNumberFormat="1" applyAlignment="1">
      <alignment wrapText="1"/>
    </xf>
    <xf numFmtId="0" fontId="7" fillId="0" borderId="1" xfId="6" applyFont="1" applyFill="1" applyBorder="1" applyAlignment="1" applyProtection="1">
      <alignment horizontal="center"/>
      <protection locked="0"/>
    </xf>
    <xf numFmtId="0" fontId="7" fillId="0" borderId="1" xfId="6" applyFont="1" applyFill="1" applyBorder="1" applyProtection="1">
      <protection locked="0"/>
    </xf>
    <xf numFmtId="165" fontId="7" fillId="0" borderId="1" xfId="7" applyNumberFormat="1" applyFont="1" applyFill="1" applyBorder="1" applyAlignment="1" applyProtection="1">
      <alignment horizontal="right" vertical="top"/>
      <protection locked="0"/>
    </xf>
    <xf numFmtId="44" fontId="7" fillId="0" borderId="1" xfId="2" applyNumberFormat="1" applyFont="1" applyFill="1" applyBorder="1" applyAlignment="1" applyProtection="1">
      <alignment horizontal="right" vertical="top"/>
      <protection locked="0"/>
    </xf>
    <xf numFmtId="0" fontId="12" fillId="4" borderId="0" xfId="0" applyFont="1" applyFill="1" applyAlignment="1">
      <alignment horizontal="right" vertical="center"/>
    </xf>
    <xf numFmtId="0" fontId="12" fillId="4" borderId="0" xfId="0" applyFont="1" applyFill="1" applyAlignment="1">
      <alignment horizontal="center" vertical="center"/>
    </xf>
    <xf numFmtId="10" fontId="12" fillId="4" borderId="0" xfId="0" applyNumberFormat="1" applyFont="1" applyFill="1" applyAlignment="1">
      <alignment horizontal="right" vertical="center"/>
    </xf>
    <xf numFmtId="0" fontId="15" fillId="0" borderId="13" xfId="0" applyFont="1" applyBorder="1" applyAlignment="1">
      <alignment vertical="center"/>
    </xf>
    <xf numFmtId="0" fontId="15" fillId="2" borderId="0" xfId="0" applyFont="1" applyFill="1" applyAlignment="1">
      <alignment horizontal="right" vertical="center"/>
    </xf>
    <xf numFmtId="0" fontId="15" fillId="2" borderId="14" xfId="0" applyFont="1" applyFill="1" applyBorder="1" applyAlignment="1">
      <alignment horizontal="right" vertical="center"/>
    </xf>
    <xf numFmtId="0" fontId="17" fillId="0" borderId="13" xfId="0" applyFont="1" applyBorder="1" applyAlignment="1">
      <alignment horizontal="right" vertical="center"/>
    </xf>
    <xf numFmtId="10" fontId="0" fillId="0" borderId="0" xfId="3" applyNumberFormat="1" applyFont="1" applyFill="1"/>
    <xf numFmtId="0" fontId="0" fillId="0" borderId="0" xfId="0" applyAlignment="1">
      <alignment horizontal="right"/>
    </xf>
    <xf numFmtId="0" fontId="0" fillId="5" borderId="0" xfId="0" applyFill="1" applyAlignment="1">
      <alignment wrapText="1"/>
    </xf>
    <xf numFmtId="44" fontId="0" fillId="5" borderId="0" xfId="0" applyNumberFormat="1" applyFill="1"/>
    <xf numFmtId="44" fontId="0" fillId="5" borderId="0" xfId="2" applyFont="1" applyFill="1"/>
    <xf numFmtId="10" fontId="0" fillId="5" borderId="0" xfId="3" applyNumberFormat="1" applyFont="1" applyFill="1"/>
    <xf numFmtId="164" fontId="0" fillId="5" borderId="0" xfId="1" applyNumberFormat="1" applyFont="1" applyFill="1"/>
    <xf numFmtId="9" fontId="0" fillId="5" borderId="0" xfId="3" applyFont="1" applyFill="1" applyAlignment="1">
      <alignment wrapText="1"/>
    </xf>
    <xf numFmtId="164" fontId="0" fillId="0" borderId="0" xfId="1" applyNumberFormat="1" applyFont="1" applyFill="1"/>
    <xf numFmtId="43" fontId="0" fillId="5" borderId="0" xfId="1" applyFont="1" applyFill="1"/>
    <xf numFmtId="165" fontId="0" fillId="5" borderId="0" xfId="2" applyNumberFormat="1" applyFont="1" applyFill="1"/>
    <xf numFmtId="0" fontId="0" fillId="6" borderId="0" xfId="0" applyFill="1" applyAlignment="1">
      <alignment wrapText="1"/>
    </xf>
    <xf numFmtId="44" fontId="0" fillId="6" borderId="0" xfId="0" applyNumberFormat="1" applyFill="1"/>
    <xf numFmtId="44" fontId="0" fillId="6" borderId="0" xfId="2" applyFont="1" applyFill="1"/>
    <xf numFmtId="10" fontId="0" fillId="6" borderId="0" xfId="3" applyNumberFormat="1" applyFont="1" applyFill="1"/>
    <xf numFmtId="164" fontId="0" fillId="6" borderId="0" xfId="1" applyNumberFormat="1" applyFont="1" applyFill="1"/>
    <xf numFmtId="9" fontId="0" fillId="6" borderId="0" xfId="3" applyFont="1" applyFill="1" applyAlignment="1">
      <alignment wrapText="1"/>
    </xf>
    <xf numFmtId="43" fontId="0" fillId="6" borderId="0" xfId="1" applyFont="1" applyFill="1"/>
    <xf numFmtId="165" fontId="0" fillId="6" borderId="0" xfId="2" applyNumberFormat="1" applyFont="1" applyFill="1"/>
    <xf numFmtId="0" fontId="0" fillId="6" borderId="0" xfId="0" applyFill="1"/>
    <xf numFmtId="0" fontId="0" fillId="7" borderId="0" xfId="0" applyFill="1"/>
    <xf numFmtId="44" fontId="0" fillId="7" borderId="0" xfId="0" applyNumberFormat="1" applyFill="1"/>
    <xf numFmtId="0" fontId="12" fillId="4" borderId="0" xfId="0" applyFont="1" applyFill="1" applyAlignment="1">
      <alignment vertical="center"/>
    </xf>
    <xf numFmtId="0" fontId="16" fillId="0" borderId="16" xfId="0" applyFont="1" applyBorder="1" applyAlignment="1">
      <alignment vertical="center"/>
    </xf>
    <xf numFmtId="0" fontId="16" fillId="0" borderId="0" xfId="0" applyFont="1" applyAlignment="1">
      <alignment vertical="center"/>
    </xf>
    <xf numFmtId="0" fontId="0" fillId="5" borderId="0" xfId="0" applyFill="1"/>
    <xf numFmtId="0" fontId="15" fillId="0" borderId="16" xfId="0" applyFont="1" applyBorder="1" applyAlignment="1">
      <alignment vertical="center"/>
    </xf>
    <xf numFmtId="0" fontId="12" fillId="4" borderId="0" xfId="0" applyFont="1" applyFill="1" applyAlignment="1">
      <alignment vertical="center"/>
    </xf>
    <xf numFmtId="0" fontId="15" fillId="0" borderId="14" xfId="0" applyFont="1" applyBorder="1" applyAlignment="1">
      <alignment vertical="center"/>
    </xf>
    <xf numFmtId="0" fontId="0" fillId="0" borderId="0" xfId="0" applyFill="1"/>
    <xf numFmtId="44" fontId="0" fillId="0" borderId="0" xfId="2" applyFont="1" applyFill="1"/>
    <xf numFmtId="44" fontId="0" fillId="0" borderId="0" xfId="0" applyNumberFormat="1" applyFill="1" applyAlignment="1">
      <alignment horizontal="right"/>
    </xf>
    <xf numFmtId="44" fontId="0" fillId="0" borderId="0" xfId="0" applyNumberFormat="1" applyFill="1"/>
    <xf numFmtId="164" fontId="0" fillId="6" borderId="0" xfId="0" applyNumberFormat="1" applyFill="1"/>
    <xf numFmtId="43" fontId="0" fillId="6" borderId="0" xfId="0" applyNumberFormat="1" applyFill="1"/>
    <xf numFmtId="0" fontId="3" fillId="6" borderId="0" xfId="0" applyFont="1" applyFill="1"/>
    <xf numFmtId="10" fontId="3" fillId="6" borderId="0" xfId="3" applyNumberFormat="1" applyFont="1" applyFill="1"/>
    <xf numFmtId="165" fontId="3" fillId="6" borderId="0" xfId="3" applyNumberFormat="1" applyFont="1" applyFill="1"/>
    <xf numFmtId="0" fontId="3" fillId="5" borderId="0" xfId="0" applyFont="1" applyFill="1"/>
    <xf numFmtId="165" fontId="3" fillId="5" borderId="0" xfId="2" applyNumberFormat="1" applyFont="1" applyFill="1"/>
    <xf numFmtId="168" fontId="0" fillId="5" borderId="0" xfId="3" applyNumberFormat="1" applyFont="1" applyFill="1"/>
    <xf numFmtId="164" fontId="0" fillId="7" borderId="0" xfId="1" applyNumberFormat="1" applyFont="1" applyFill="1"/>
    <xf numFmtId="10" fontId="0" fillId="7" borderId="0" xfId="3" applyNumberFormat="1" applyFont="1" applyFill="1"/>
    <xf numFmtId="165" fontId="0" fillId="7" borderId="0" xfId="2" applyNumberFormat="1" applyFont="1" applyFill="1"/>
    <xf numFmtId="10" fontId="0" fillId="7" borderId="0" xfId="0" applyNumberFormat="1" applyFill="1"/>
    <xf numFmtId="0" fontId="3" fillId="7" borderId="0" xfId="0" applyFont="1" applyFill="1"/>
    <xf numFmtId="10" fontId="3" fillId="7" borderId="0" xfId="0" applyNumberFormat="1" applyFont="1" applyFill="1"/>
    <xf numFmtId="168" fontId="3" fillId="7" borderId="0" xfId="0" applyNumberFormat="1" applyFont="1" applyFill="1"/>
    <xf numFmtId="0" fontId="15" fillId="0" borderId="10"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6" fillId="0" borderId="13" xfId="0" applyFont="1" applyBorder="1" applyAlignment="1">
      <alignment vertical="center"/>
    </xf>
    <xf numFmtId="10" fontId="18" fillId="0" borderId="15" xfId="3" applyNumberFormat="1" applyFont="1" applyFill="1" applyBorder="1"/>
    <xf numFmtId="0" fontId="19" fillId="0" borderId="0" xfId="9"/>
    <xf numFmtId="3" fontId="19" fillId="0" borderId="0" xfId="9" applyNumberFormat="1"/>
    <xf numFmtId="9" fontId="19" fillId="0" borderId="0" xfId="3" applyFont="1"/>
    <xf numFmtId="10" fontId="19" fillId="0" borderId="0" xfId="3" applyNumberFormat="1" applyFont="1"/>
    <xf numFmtId="3" fontId="20" fillId="0" borderId="0" xfId="9" quotePrefix="1" applyNumberFormat="1" applyFont="1"/>
    <xf numFmtId="169" fontId="19" fillId="0" borderId="0" xfId="9" applyNumberFormat="1" applyAlignment="1">
      <alignment horizontal="center"/>
    </xf>
    <xf numFmtId="10" fontId="19" fillId="0" borderId="0" xfId="3" applyNumberFormat="1" applyFont="1" applyAlignment="1">
      <alignment horizontal="center"/>
    </xf>
    <xf numFmtId="169" fontId="19" fillId="8" borderId="0" xfId="9" applyNumberFormat="1" applyFill="1" applyAlignment="1">
      <alignment horizontal="center"/>
    </xf>
    <xf numFmtId="3" fontId="19" fillId="8" borderId="0" xfId="9" applyNumberFormat="1" applyFill="1"/>
    <xf numFmtId="3" fontId="19" fillId="0" borderId="0" xfId="9" applyNumberFormat="1" applyAlignment="1">
      <alignment horizontal="centerContinuous"/>
    </xf>
    <xf numFmtId="170" fontId="19" fillId="0" borderId="0" xfId="9" applyNumberFormat="1" applyAlignment="1">
      <alignment horizontal="center"/>
    </xf>
    <xf numFmtId="9" fontId="19" fillId="8" borderId="0" xfId="3" applyFont="1" applyFill="1" applyAlignment="1">
      <alignment horizontal="center"/>
    </xf>
    <xf numFmtId="9" fontId="19" fillId="0" borderId="0" xfId="3" applyFont="1" applyAlignment="1">
      <alignment horizontal="center"/>
    </xf>
    <xf numFmtId="3" fontId="19" fillId="0" borderId="0" xfId="9" applyNumberFormat="1" applyAlignment="1">
      <alignment horizontal="center"/>
    </xf>
    <xf numFmtId="3" fontId="19" fillId="8" borderId="0" xfId="9" applyNumberFormat="1" applyFill="1" applyAlignment="1">
      <alignment horizontal="centerContinuous"/>
    </xf>
    <xf numFmtId="10" fontId="19" fillId="8" borderId="0" xfId="3" applyNumberFormat="1" applyFont="1" applyFill="1" applyAlignment="1">
      <alignment horizontal="center"/>
    </xf>
    <xf numFmtId="3" fontId="20" fillId="0" borderId="0" xfId="9" applyNumberFormat="1" applyFont="1" applyAlignment="1">
      <alignment horizontal="left"/>
    </xf>
    <xf numFmtId="4" fontId="19" fillId="0" borderId="0" xfId="9" applyNumberFormat="1"/>
    <xf numFmtId="3" fontId="20" fillId="0" borderId="0" xfId="9" applyNumberFormat="1" applyFont="1"/>
    <xf numFmtId="3" fontId="19" fillId="8" borderId="0" xfId="9" applyNumberFormat="1" applyFill="1" applyAlignment="1">
      <alignment horizontal="left" wrapText="1"/>
    </xf>
    <xf numFmtId="3" fontId="19" fillId="8" borderId="0" xfId="9" applyNumberFormat="1" applyFill="1" applyAlignment="1">
      <alignment horizontal="left"/>
    </xf>
    <xf numFmtId="3" fontId="20" fillId="0" borderId="0" xfId="9" applyNumberFormat="1" applyFont="1" applyAlignment="1">
      <alignment horizontal="centerContinuous"/>
    </xf>
    <xf numFmtId="14" fontId="21" fillId="0" borderId="0" xfId="10" applyNumberFormat="1" applyFont="1" applyAlignment="1">
      <alignment horizontal="right" vertical="top"/>
    </xf>
    <xf numFmtId="0" fontId="21" fillId="0" borderId="0" xfId="10" applyFont="1" applyAlignment="1">
      <alignment horizontal="right" vertical="top"/>
    </xf>
    <xf numFmtId="0" fontId="22" fillId="0" borderId="0" xfId="0" applyFont="1"/>
    <xf numFmtId="3" fontId="19" fillId="0" borderId="0" xfId="9" applyNumberFormat="1" applyAlignment="1">
      <alignment horizontal="left" wrapText="1"/>
    </xf>
    <xf numFmtId="3" fontId="19" fillId="8" borderId="0" xfId="9" applyNumberFormat="1" applyFill="1" applyAlignment="1">
      <alignment horizontal="left" wrapText="1"/>
    </xf>
    <xf numFmtId="0" fontId="15" fillId="0" borderId="17" xfId="0" applyFont="1" applyBorder="1" applyAlignment="1">
      <alignment vertical="center"/>
    </xf>
    <xf numFmtId="0" fontId="15" fillId="0" borderId="14" xfId="0" applyFont="1" applyBorder="1" applyAlignment="1">
      <alignment vertical="center"/>
    </xf>
    <xf numFmtId="0" fontId="15" fillId="0" borderId="16" xfId="0" applyFont="1" applyBorder="1" applyAlignment="1">
      <alignment vertical="center"/>
    </xf>
    <xf numFmtId="0" fontId="15" fillId="0" borderId="0" xfId="0" applyFont="1" applyAlignment="1">
      <alignment vertical="center"/>
    </xf>
    <xf numFmtId="0" fontId="12" fillId="4" borderId="0" xfId="0" applyFont="1" applyFill="1" applyAlignment="1">
      <alignment vertical="center"/>
    </xf>
    <xf numFmtId="0" fontId="13" fillId="0" borderId="0" xfId="0" applyFont="1" applyAlignment="1">
      <alignment horizontal="left" vertical="center" wrapText="1"/>
    </xf>
  </cellXfs>
  <cellStyles count="11">
    <cellStyle name="Comma" xfId="1" builtinId="3"/>
    <cellStyle name="Comma 3" xfId="7" xr:uid="{2971F760-2AEA-4C17-9B2D-658807B6A6C1}"/>
    <cellStyle name="Currency" xfId="2" builtinId="4"/>
    <cellStyle name="Currency 2" xfId="4" xr:uid="{5AC26407-BF3D-4C6F-BDF2-159074361153}"/>
    <cellStyle name="Normal" xfId="0" builtinId="0"/>
    <cellStyle name="Normal 3" xfId="10" xr:uid="{DFF79A65-807A-47A5-8DF7-F950B8C31E90}"/>
    <cellStyle name="Normal 5" xfId="5" xr:uid="{2305E1C2-5C0E-4D45-BB1B-05D03DB0AA9A}"/>
    <cellStyle name="Normal 6" xfId="6" xr:uid="{F4A35684-DCE1-4448-9797-302B3CB828FA}"/>
    <cellStyle name="Normal 9" xfId="9" xr:uid="{78285DEF-DECB-4558-AE77-4E407ADBF5A4}"/>
    <cellStyle name="Percent" xfId="3" builtinId="5"/>
    <cellStyle name="Percent 4" xfId="8" xr:uid="{C64B844F-5CFE-4F50-B1E4-3220E12B46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556731</xdr:colOff>
      <xdr:row>23</xdr:row>
      <xdr:rowOff>175608</xdr:rowOff>
    </xdr:to>
    <xdr:pic>
      <xdr:nvPicPr>
        <xdr:cNvPr id="2" name="Picture 1">
          <a:extLst>
            <a:ext uri="{FF2B5EF4-FFF2-40B4-BE49-F238E27FC236}">
              <a16:creationId xmlns:a16="http://schemas.microsoft.com/office/drawing/2014/main" id="{4EF866F7-E033-4B19-87CE-9EE5B88CA0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433531" cy="417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175698</xdr:colOff>
      <xdr:row>7</xdr:row>
      <xdr:rowOff>83922</xdr:rowOff>
    </xdr:to>
    <xdr:pic>
      <xdr:nvPicPr>
        <xdr:cNvPr id="2" name="Picture 1">
          <a:extLst>
            <a:ext uri="{FF2B5EF4-FFF2-40B4-BE49-F238E27FC236}">
              <a16:creationId xmlns:a16="http://schemas.microsoft.com/office/drawing/2014/main" id="{A54C1E90-BE0D-4525-906F-03775F4C33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5052498" cy="1226922"/>
        </a:xfrm>
        <a:prstGeom prst="rect">
          <a:avLst/>
        </a:prstGeom>
      </xdr:spPr>
    </xdr:pic>
    <xdr:clientData/>
  </xdr:twoCellAnchor>
  <xdr:twoCellAnchor editAs="oneCell">
    <xdr:from>
      <xdr:col>1</xdr:col>
      <xdr:colOff>0</xdr:colOff>
      <xdr:row>8</xdr:row>
      <xdr:rowOff>0</xdr:rowOff>
    </xdr:from>
    <xdr:to>
      <xdr:col>5</xdr:col>
      <xdr:colOff>84039</xdr:colOff>
      <xdr:row>11</xdr:row>
      <xdr:rowOff>121978</xdr:rowOff>
    </xdr:to>
    <xdr:pic>
      <xdr:nvPicPr>
        <xdr:cNvPr id="3" name="Picture 2">
          <a:extLst>
            <a:ext uri="{FF2B5EF4-FFF2-40B4-BE49-F238E27FC236}">
              <a16:creationId xmlns:a16="http://schemas.microsoft.com/office/drawing/2014/main" id="{153DA032-D3EE-49DA-8D35-1B15564260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524000"/>
          <a:ext cx="2522439" cy="69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D001\NFRP\Nsghome\Legislative%20analyses\2024\WFSB%20Possible%20Bill\20240403\WFSB%2025%20All%20-%20No%20Upfront%20-%20Wage%20inflated%20to%202024%20-%20Data%20Analysis%2004052024.xlsx" TargetMode="External"/><Relationship Id="rId1" Type="http://schemas.openxmlformats.org/officeDocument/2006/relationships/externalLinkPath" Target="file:///S:\D001\NFRP\Nsghome\Legislative%20analyses\2024\WFSB%20Possible%20Bill\20240403\WFSB%2025%20All%20-%20No%20Upfront%20-%20Wage%20inflated%20to%202024%20-%20Data%20Analysis%2004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Analysis"/>
      <sheetName val="LPN Sample"/>
      <sheetName val="LPN Detail"/>
      <sheetName val="TMA Sample"/>
      <sheetName val="TMA Detail"/>
      <sheetName val="CNA Sample"/>
      <sheetName val="CNA Detail"/>
      <sheetName val="Cook Sample"/>
      <sheetName val="Cook detail"/>
      <sheetName val="aide sample"/>
      <sheetName val="aide detail"/>
      <sheetName val="Dietary Sample"/>
      <sheetName val="Dietary Detail"/>
      <sheetName val="HSKG Sample"/>
      <sheetName val="HSKG detail"/>
      <sheetName val="Act Sample"/>
      <sheetName val="Act detail"/>
      <sheetName val="AllDetail"/>
      <sheetName val="SASS"/>
      <sheetName val="SAS Data"/>
      <sheetName val="Data"/>
      <sheetName val="Estimator data 120523"/>
    </sheetNames>
    <sheetDataSet>
      <sheetData sheetId="0"/>
      <sheetData sheetId="1">
        <row r="1">
          <cell r="I1" t="str">
            <v>CNA</v>
          </cell>
          <cell r="Q1" t="str">
            <v>Cook</v>
          </cell>
          <cell r="U1" t="str">
            <v>Dietary Aide</v>
          </cell>
          <cell r="Y1" t="str">
            <v>Hkpg</v>
          </cell>
          <cell r="AC1" t="str">
            <v>Act Aide</v>
          </cell>
          <cell r="AF1" t="str">
            <v>Total</v>
          </cell>
        </row>
        <row r="7">
          <cell r="AF7">
            <v>21.691213197780971</v>
          </cell>
          <cell r="AG7">
            <v>22.728053188634767</v>
          </cell>
        </row>
        <row r="8">
          <cell r="M8">
            <v>1.8634534769889315</v>
          </cell>
        </row>
        <row r="11">
          <cell r="AF11">
            <v>0.96296674342397326</v>
          </cell>
        </row>
        <row r="42">
          <cell r="E42">
            <v>2.1022664795223851</v>
          </cell>
          <cell r="F42">
            <v>1.1431780037758821</v>
          </cell>
          <cell r="I42">
            <v>2.0148120320541976</v>
          </cell>
          <cell r="J42">
            <v>1.2779861166770261</v>
          </cell>
          <cell r="N42">
            <v>1.2543095923340752</v>
          </cell>
          <cell r="Q42">
            <v>1.0935144876060117</v>
          </cell>
          <cell r="R42">
            <v>0.96683782621499692</v>
          </cell>
          <cell r="U42">
            <v>1.9618661198123575</v>
          </cell>
          <cell r="V42">
            <v>1.3633899435174208</v>
          </cell>
          <cell r="Y42">
            <v>1.6656163310638883</v>
          </cell>
          <cell r="Z42">
            <v>1.2531146405918485</v>
          </cell>
          <cell r="AC42">
            <v>2.3706749258199977</v>
          </cell>
          <cell r="AD42">
            <v>1.3150440115526973</v>
          </cell>
        </row>
        <row r="48">
          <cell r="E48">
            <v>0.10270270270270271</v>
          </cell>
          <cell r="F48">
            <v>0.11216216216216217</v>
          </cell>
          <cell r="I48">
            <v>0.52079866888519133</v>
          </cell>
          <cell r="J48">
            <v>0.56738768718802002</v>
          </cell>
          <cell r="M48">
            <v>0.42199488491048592</v>
          </cell>
          <cell r="N48">
            <v>0.46035805626598464</v>
          </cell>
          <cell r="Q48">
            <v>0.17</v>
          </cell>
          <cell r="R48">
            <v>0.25</v>
          </cell>
          <cell r="U48">
            <v>0.98451113262342693</v>
          </cell>
          <cell r="V48">
            <v>0.9699903194578896</v>
          </cell>
          <cell r="Y48">
            <v>0.59219858156028371</v>
          </cell>
          <cell r="Z48">
            <v>0.65780141843971629</v>
          </cell>
          <cell r="AC48">
            <v>0.57943925233644855</v>
          </cell>
          <cell r="AD48">
            <v>0.63785046728971961</v>
          </cell>
        </row>
        <row r="49">
          <cell r="E49">
            <v>4837591</v>
          </cell>
          <cell r="F49">
            <v>4837591</v>
          </cell>
          <cell r="I49">
            <v>15157400</v>
          </cell>
          <cell r="J49">
            <v>15157400</v>
          </cell>
          <cell r="M49">
            <v>2114299</v>
          </cell>
          <cell r="N49">
            <v>2114299</v>
          </cell>
          <cell r="Q49">
            <v>1760996.5108164689</v>
          </cell>
          <cell r="R49">
            <v>1760996.5108164689</v>
          </cell>
          <cell r="U49">
            <v>4547773.4891835311</v>
          </cell>
          <cell r="V49">
            <v>4547773.4891835311</v>
          </cell>
          <cell r="Y49">
            <v>2564562</v>
          </cell>
          <cell r="Z49">
            <v>2564562</v>
          </cell>
          <cell r="AC49">
            <v>2097428</v>
          </cell>
          <cell r="AD49">
            <v>2097428</v>
          </cell>
        </row>
        <row r="52">
          <cell r="E52">
            <v>1.1011261824218856</v>
          </cell>
          <cell r="F52">
            <v>1.1011261824218856</v>
          </cell>
          <cell r="I52">
            <v>1.1930379851693549</v>
          </cell>
          <cell r="J52">
            <v>1.1930379851693549</v>
          </cell>
          <cell r="M52">
            <v>0.64779126984192892</v>
          </cell>
          <cell r="N52">
            <v>0.64779126984192892</v>
          </cell>
          <cell r="Q52">
            <v>1.0743589575037351</v>
          </cell>
          <cell r="R52">
            <v>1.0743589575037351</v>
          </cell>
          <cell r="U52">
            <v>1.1319978934984971</v>
          </cell>
          <cell r="V52">
            <v>1.1319978934984971</v>
          </cell>
          <cell r="Y52">
            <v>1.1188444786517682</v>
          </cell>
          <cell r="Z52">
            <v>1.1188444786517682</v>
          </cell>
          <cell r="AC52">
            <v>1.2632354078372341</v>
          </cell>
          <cell r="AD52">
            <v>1.2632354078372341</v>
          </cell>
          <cell r="AF52">
            <v>1.1501381283207719</v>
          </cell>
          <cell r="AG52">
            <v>1.1566733402419702</v>
          </cell>
        </row>
        <row r="58">
          <cell r="AF58">
            <v>0.35160763789931859</v>
          </cell>
        </row>
      </sheetData>
      <sheetData sheetId="2">
        <row r="101">
          <cell r="P101">
            <v>28.810054817306135</v>
          </cell>
          <cell r="Q101">
            <v>30.914571372952466</v>
          </cell>
        </row>
      </sheetData>
      <sheetData sheetId="3"/>
      <sheetData sheetId="4">
        <row r="101">
          <cell r="P101">
            <v>22.182757137490881</v>
          </cell>
          <cell r="Q101">
            <v>25.742867256558029</v>
          </cell>
        </row>
      </sheetData>
      <sheetData sheetId="5"/>
      <sheetData sheetId="6">
        <row r="101">
          <cell r="P101">
            <v>22.726347925677857</v>
          </cell>
          <cell r="Q101">
            <v>24.419993060005186</v>
          </cell>
        </row>
      </sheetData>
      <sheetData sheetId="7"/>
      <sheetData sheetId="8">
        <row r="101">
          <cell r="P101">
            <v>21.68981515763388</v>
          </cell>
          <cell r="Q101">
            <v>22.804771592363473</v>
          </cell>
        </row>
      </sheetData>
      <sheetData sheetId="9"/>
      <sheetData sheetId="10">
        <row r="101">
          <cell r="P101">
            <v>18.143587163494505</v>
          </cell>
          <cell r="Q101">
            <v>19.894637491438953</v>
          </cell>
        </row>
      </sheetData>
      <sheetData sheetId="11"/>
      <sheetData sheetId="12"/>
      <sheetData sheetId="13"/>
      <sheetData sheetId="14">
        <row r="101">
          <cell r="P101">
            <v>18.830071421116802</v>
          </cell>
          <cell r="Q101">
            <v>20.309359135233624</v>
          </cell>
        </row>
      </sheetData>
      <sheetData sheetId="15"/>
      <sheetData sheetId="16">
        <row r="101">
          <cell r="P101">
            <v>18.903037265616454</v>
          </cell>
          <cell r="Q101">
            <v>20.76618276511492</v>
          </cell>
        </row>
      </sheetData>
      <sheetData sheetId="17"/>
      <sheetData sheetId="18"/>
      <sheetData sheetId="19">
        <row r="340">
          <cell r="J340">
            <v>838441</v>
          </cell>
        </row>
      </sheetData>
      <sheetData sheetId="20">
        <row r="339">
          <cell r="BT339">
            <v>6850988</v>
          </cell>
        </row>
      </sheetData>
      <sheetData sheetId="21">
        <row r="350">
          <cell r="AN350">
            <v>16965395.659489896</v>
          </cell>
          <cell r="AO350">
            <v>6068446.0909674251</v>
          </cell>
          <cell r="AP350">
            <v>12259527.870557964</v>
          </cell>
          <cell r="AQ350">
            <v>21373814</v>
          </cell>
          <cell r="AR350">
            <v>49202758</v>
          </cell>
          <cell r="AS350">
            <v>1272443</v>
          </cell>
        </row>
        <row r="356">
          <cell r="X356">
            <v>0.11325497383971654</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DA5C5-8775-46AA-AF2C-44D91BD2D1BC}">
  <dimension ref="A1:IT99"/>
  <sheetViews>
    <sheetView tabSelected="1" topLeftCell="A5" workbookViewId="0">
      <selection activeCell="A19" sqref="A19:E19"/>
    </sheetView>
  </sheetViews>
  <sheetFormatPr defaultColWidth="17.5546875" defaultRowHeight="15" x14ac:dyDescent="0.25"/>
  <cols>
    <col min="1" max="1" width="44.77734375" style="152" customWidth="1"/>
    <col min="2" max="2" width="18.21875" style="152" customWidth="1"/>
    <col min="3" max="3" width="24.21875" style="152" customWidth="1"/>
    <col min="4" max="4" width="22" style="152" customWidth="1"/>
    <col min="5" max="5" width="19" style="152" customWidth="1"/>
    <col min="6" max="6" width="17.5546875" style="152"/>
    <col min="7" max="7" width="27.44140625" style="152" customWidth="1"/>
    <col min="8" max="254" width="17.5546875" style="152"/>
    <col min="255" max="16384" width="17.5546875" style="151"/>
  </cols>
  <sheetData>
    <row r="1" spans="1:7" ht="15.6" x14ac:dyDescent="0.3">
      <c r="A1" s="172" t="s">
        <v>275</v>
      </c>
      <c r="B1" s="160"/>
      <c r="C1" s="160"/>
      <c r="D1" s="160"/>
      <c r="E1" s="160"/>
      <c r="G1" s="173"/>
    </row>
    <row r="2" spans="1:7" ht="15.6" x14ac:dyDescent="0.3">
      <c r="A2" s="172" t="s">
        <v>274</v>
      </c>
      <c r="B2" s="160"/>
      <c r="C2" s="160"/>
      <c r="D2" s="160"/>
      <c r="E2" s="160"/>
      <c r="F2" s="174"/>
      <c r="G2" s="173"/>
    </row>
    <row r="3" spans="1:7" x14ac:dyDescent="0.25">
      <c r="A3" s="160" t="s">
        <v>273</v>
      </c>
      <c r="B3" s="160"/>
      <c r="C3" s="160"/>
      <c r="D3" s="160"/>
      <c r="E3" s="160"/>
    </row>
    <row r="4" spans="1:7" ht="15.6" x14ac:dyDescent="0.3">
      <c r="A4" s="172"/>
      <c r="B4" s="160"/>
      <c r="C4" s="160"/>
      <c r="D4" s="160"/>
      <c r="E4" s="160"/>
    </row>
    <row r="5" spans="1:7" s="152" customFormat="1" ht="32.25" customHeight="1" x14ac:dyDescent="0.25">
      <c r="A5" s="177" t="s">
        <v>272</v>
      </c>
      <c r="B5" s="177"/>
      <c r="C5" s="177"/>
      <c r="D5" s="177"/>
      <c r="E5" s="177"/>
    </row>
    <row r="6" spans="1:7" s="152" customFormat="1" ht="18" customHeight="1" x14ac:dyDescent="0.25">
      <c r="A6" s="171" t="s">
        <v>271</v>
      </c>
      <c r="C6" s="170"/>
      <c r="D6" s="170"/>
      <c r="E6" s="170"/>
    </row>
    <row r="7" spans="1:7" s="152" customFormat="1" ht="18" customHeight="1" x14ac:dyDescent="0.25">
      <c r="A7" s="171" t="s">
        <v>270</v>
      </c>
      <c r="C7" s="170"/>
      <c r="D7" s="170"/>
      <c r="E7" s="170"/>
    </row>
    <row r="8" spans="1:7" s="152" customFormat="1" ht="18" customHeight="1" x14ac:dyDescent="0.25">
      <c r="A8" s="171"/>
      <c r="C8" s="170"/>
      <c r="D8" s="170"/>
      <c r="E8" s="170"/>
    </row>
    <row r="9" spans="1:7" s="152" customFormat="1" ht="18" customHeight="1" x14ac:dyDescent="0.3">
      <c r="A9" s="171"/>
      <c r="B9" s="167" t="s">
        <v>269</v>
      </c>
      <c r="C9" s="160"/>
      <c r="D9" s="160"/>
      <c r="E9" s="170"/>
    </row>
    <row r="10" spans="1:7" s="152" customFormat="1" ht="18" customHeight="1" x14ac:dyDescent="0.25">
      <c r="A10" s="171"/>
      <c r="C10" s="164" t="s">
        <v>268</v>
      </c>
      <c r="D10" s="164" t="s">
        <v>268</v>
      </c>
      <c r="E10" s="170"/>
    </row>
    <row r="11" spans="1:7" x14ac:dyDescent="0.25">
      <c r="B11" s="164"/>
      <c r="C11" s="164" t="s">
        <v>255</v>
      </c>
      <c r="D11" s="164" t="s">
        <v>242</v>
      </c>
    </row>
    <row r="12" spans="1:7" x14ac:dyDescent="0.25">
      <c r="B12" s="164" t="s">
        <v>237</v>
      </c>
      <c r="C12" s="156">
        <v>27</v>
      </c>
      <c r="D12" s="156">
        <v>28.5</v>
      </c>
    </row>
    <row r="13" spans="1:7" x14ac:dyDescent="0.25">
      <c r="B13" s="164" t="s">
        <v>236</v>
      </c>
      <c r="C13" s="156">
        <v>23.5</v>
      </c>
      <c r="D13" s="156">
        <v>25</v>
      </c>
    </row>
    <row r="14" spans="1:7" x14ac:dyDescent="0.25">
      <c r="B14" s="164" t="s">
        <v>235</v>
      </c>
      <c r="C14" s="156">
        <v>22.5</v>
      </c>
      <c r="D14" s="156">
        <v>24</v>
      </c>
    </row>
    <row r="15" spans="1:7" x14ac:dyDescent="0.25">
      <c r="B15" s="164" t="s">
        <v>234</v>
      </c>
      <c r="C15" s="156">
        <v>19</v>
      </c>
      <c r="D15" s="156">
        <v>20.5</v>
      </c>
    </row>
    <row r="16" spans="1:7" s="152" customFormat="1" x14ac:dyDescent="0.25">
      <c r="B16" s="164"/>
      <c r="C16" s="163"/>
      <c r="D16" s="161"/>
      <c r="E16" s="160"/>
    </row>
    <row r="17" spans="1:5" s="152" customFormat="1" ht="90" customHeight="1" x14ac:dyDescent="0.25">
      <c r="A17" s="177" t="s">
        <v>267</v>
      </c>
      <c r="B17" s="177"/>
      <c r="C17" s="177"/>
      <c r="D17" s="177"/>
      <c r="E17" s="177"/>
    </row>
    <row r="18" spans="1:5" s="152" customFormat="1" ht="21.75" customHeight="1" x14ac:dyDescent="0.25">
      <c r="B18" s="160"/>
      <c r="C18" s="160"/>
      <c r="D18" s="160"/>
      <c r="E18" s="160"/>
    </row>
    <row r="19" spans="1:5" s="152" customFormat="1" ht="106.5" customHeight="1" x14ac:dyDescent="0.25">
      <c r="A19" s="177" t="s">
        <v>266</v>
      </c>
      <c r="B19" s="177"/>
      <c r="C19" s="177"/>
      <c r="D19" s="177"/>
      <c r="E19" s="177"/>
    </row>
    <row r="20" spans="1:5" s="152" customFormat="1" ht="15.75" customHeight="1" x14ac:dyDescent="0.25">
      <c r="A20" s="170"/>
      <c r="B20" s="170"/>
      <c r="C20" s="170"/>
      <c r="D20" s="170"/>
      <c r="E20" s="170"/>
    </row>
    <row r="21" spans="1:5" s="152" customFormat="1" ht="92.25" customHeight="1" x14ac:dyDescent="0.25">
      <c r="A21" s="177" t="s">
        <v>265</v>
      </c>
      <c r="B21" s="177"/>
      <c r="C21" s="177"/>
      <c r="D21" s="177"/>
      <c r="E21" s="177"/>
    </row>
    <row r="22" spans="1:5" s="152" customFormat="1" ht="21.75" customHeight="1" x14ac:dyDescent="0.25">
      <c r="B22" s="160"/>
      <c r="C22" s="160"/>
      <c r="D22" s="160"/>
      <c r="E22" s="160"/>
    </row>
    <row r="23" spans="1:5" s="152" customFormat="1" ht="14.25" customHeight="1" x14ac:dyDescent="0.25">
      <c r="B23" s="160"/>
      <c r="C23" s="160"/>
      <c r="D23" s="160"/>
      <c r="E23" s="160"/>
    </row>
    <row r="24" spans="1:5" s="152" customFormat="1" ht="47.25" customHeight="1" x14ac:dyDescent="0.25">
      <c r="A24" s="177" t="s">
        <v>264</v>
      </c>
      <c r="B24" s="177"/>
      <c r="C24" s="177"/>
      <c r="D24" s="177"/>
      <c r="E24" s="177"/>
    </row>
    <row r="25" spans="1:5" s="152" customFormat="1" ht="20.25" customHeight="1" x14ac:dyDescent="0.25">
      <c r="A25" s="170"/>
      <c r="B25" s="170"/>
      <c r="C25" s="170"/>
      <c r="D25" s="170"/>
      <c r="E25" s="170"/>
    </row>
    <row r="26" spans="1:5" s="152" customFormat="1" ht="21.75" customHeight="1" x14ac:dyDescent="0.3">
      <c r="A26" s="169" t="s">
        <v>263</v>
      </c>
      <c r="B26" s="160"/>
      <c r="C26" s="160"/>
      <c r="D26" s="160"/>
      <c r="E26" s="160"/>
    </row>
    <row r="27" spans="1:5" s="152" customFormat="1" ht="120.75" customHeight="1" x14ac:dyDescent="0.25">
      <c r="A27" s="176" t="s">
        <v>262</v>
      </c>
      <c r="B27" s="176"/>
      <c r="C27" s="176"/>
      <c r="D27" s="176"/>
      <c r="E27" s="176"/>
    </row>
    <row r="28" spans="1:5" s="152" customFormat="1" x14ac:dyDescent="0.25">
      <c r="B28" s="160"/>
      <c r="C28" s="160"/>
      <c r="D28" s="160"/>
      <c r="E28" s="160"/>
    </row>
    <row r="29" spans="1:5" s="152" customFormat="1" ht="58.5" customHeight="1" x14ac:dyDescent="0.25">
      <c r="A29" s="177" t="s">
        <v>261</v>
      </c>
      <c r="B29" s="177"/>
      <c r="C29" s="177"/>
      <c r="D29" s="177"/>
      <c r="E29" s="177"/>
    </row>
    <row r="30" spans="1:5" s="152" customFormat="1" x14ac:dyDescent="0.25">
      <c r="B30" s="160"/>
      <c r="C30" s="160"/>
      <c r="D30" s="160"/>
    </row>
    <row r="31" spans="1:5" s="152" customFormat="1" ht="15.6" x14ac:dyDescent="0.3">
      <c r="A31" s="169" t="s">
        <v>260</v>
      </c>
      <c r="C31" s="160"/>
      <c r="D31" s="160"/>
      <c r="E31" s="160"/>
    </row>
    <row r="32" spans="1:5" s="152" customFormat="1" ht="120.75" customHeight="1" x14ac:dyDescent="0.25">
      <c r="A32" s="177" t="s">
        <v>259</v>
      </c>
      <c r="B32" s="177"/>
      <c r="C32" s="177"/>
      <c r="D32" s="177"/>
      <c r="E32" s="177"/>
    </row>
    <row r="33" spans="1:10" s="152" customFormat="1" x14ac:dyDescent="0.25">
      <c r="C33" s="160"/>
      <c r="D33" s="160"/>
      <c r="E33" s="160"/>
    </row>
    <row r="34" spans="1:10" s="152" customFormat="1" ht="100.5" customHeight="1" x14ac:dyDescent="0.25">
      <c r="A34" s="177" t="s">
        <v>258</v>
      </c>
      <c r="B34" s="177"/>
      <c r="C34" s="177"/>
      <c r="D34" s="177"/>
      <c r="E34" s="177"/>
    </row>
    <row r="35" spans="1:10" s="152" customFormat="1" x14ac:dyDescent="0.25">
      <c r="C35" s="160"/>
      <c r="D35" s="160"/>
      <c r="E35" s="160"/>
    </row>
    <row r="36" spans="1:10" s="152" customFormat="1" x14ac:dyDescent="0.25">
      <c r="A36" s="152" t="s">
        <v>257</v>
      </c>
      <c r="C36" s="160"/>
      <c r="D36" s="160"/>
      <c r="E36" s="160"/>
    </row>
    <row r="37" spans="1:10" s="152" customFormat="1" x14ac:dyDescent="0.25">
      <c r="C37" s="160"/>
      <c r="D37" s="160"/>
      <c r="E37" s="160"/>
    </row>
    <row r="38" spans="1:10" s="152" customFormat="1" ht="15.6" x14ac:dyDescent="0.3">
      <c r="A38" s="167" t="s">
        <v>249</v>
      </c>
      <c r="B38" s="160"/>
      <c r="C38" s="160"/>
      <c r="D38" s="160"/>
    </row>
    <row r="39" spans="1:10" s="152" customFormat="1" x14ac:dyDescent="0.25">
      <c r="B39" s="160"/>
      <c r="C39" s="164" t="s">
        <v>248</v>
      </c>
      <c r="D39" s="164" t="s">
        <v>244</v>
      </c>
      <c r="E39" s="160" t="s">
        <v>247</v>
      </c>
      <c r="F39" s="160" t="s">
        <v>247</v>
      </c>
    </row>
    <row r="40" spans="1:10" s="152" customFormat="1" x14ac:dyDescent="0.25">
      <c r="B40" s="164" t="s">
        <v>246</v>
      </c>
      <c r="C40" s="164" t="s">
        <v>245</v>
      </c>
      <c r="D40" s="164" t="s">
        <v>256</v>
      </c>
      <c r="E40" s="160" t="s">
        <v>243</v>
      </c>
      <c r="F40" s="160" t="s">
        <v>243</v>
      </c>
    </row>
    <row r="41" spans="1:10" s="152" customFormat="1" x14ac:dyDescent="0.25">
      <c r="A41" s="164"/>
      <c r="B41" s="164" t="s">
        <v>255</v>
      </c>
      <c r="C41" s="164" t="s">
        <v>254</v>
      </c>
      <c r="D41" s="164" t="s">
        <v>246</v>
      </c>
      <c r="E41" s="160" t="s">
        <v>239</v>
      </c>
      <c r="F41" s="160" t="s">
        <v>238</v>
      </c>
    </row>
    <row r="42" spans="1:10" s="152" customFormat="1" x14ac:dyDescent="0.25">
      <c r="A42" s="164" t="s">
        <v>237</v>
      </c>
      <c r="B42" s="156">
        <v>27</v>
      </c>
      <c r="C42" s="156">
        <v>28.81</v>
      </c>
      <c r="D42" s="157">
        <v>0.1027</v>
      </c>
      <c r="E42" s="156">
        <v>2.1</v>
      </c>
      <c r="F42" s="156">
        <v>0.73</v>
      </c>
      <c r="G42" s="168"/>
      <c r="H42" s="157"/>
      <c r="I42" s="156"/>
      <c r="J42" s="163"/>
    </row>
    <row r="43" spans="1:10" s="152" customFormat="1" x14ac:dyDescent="0.25">
      <c r="A43" s="164" t="s">
        <v>236</v>
      </c>
      <c r="B43" s="156">
        <v>23.5</v>
      </c>
      <c r="C43" s="156">
        <v>22.18</v>
      </c>
      <c r="D43" s="157">
        <v>0.42199999999999999</v>
      </c>
      <c r="E43" s="156">
        <v>1.86</v>
      </c>
      <c r="F43" s="156">
        <v>0.8</v>
      </c>
      <c r="G43" s="168"/>
      <c r="H43" s="157"/>
      <c r="I43" s="156"/>
      <c r="J43" s="163"/>
    </row>
    <row r="44" spans="1:10" s="152" customFormat="1" x14ac:dyDescent="0.25">
      <c r="A44" s="164" t="s">
        <v>235</v>
      </c>
      <c r="B44" s="156">
        <v>22.5</v>
      </c>
      <c r="C44" s="156">
        <v>22.73</v>
      </c>
      <c r="D44" s="157">
        <v>0.52080000000000004</v>
      </c>
      <c r="E44" s="156">
        <v>2.0099999999999998</v>
      </c>
      <c r="F44" s="156">
        <v>0.93</v>
      </c>
      <c r="G44" s="168"/>
      <c r="H44" s="157"/>
      <c r="I44" s="156"/>
      <c r="J44" s="163"/>
    </row>
    <row r="45" spans="1:10" s="152" customFormat="1" x14ac:dyDescent="0.25">
      <c r="A45" s="164" t="s">
        <v>234</v>
      </c>
      <c r="B45" s="156">
        <v>19</v>
      </c>
      <c r="C45" s="166" t="s">
        <v>233</v>
      </c>
      <c r="D45" s="166" t="s">
        <v>233</v>
      </c>
      <c r="E45" s="165" t="s">
        <v>233</v>
      </c>
      <c r="F45" s="165" t="s">
        <v>233</v>
      </c>
      <c r="G45" s="168"/>
      <c r="H45" s="166"/>
      <c r="I45" s="156"/>
      <c r="J45" s="163"/>
    </row>
    <row r="46" spans="1:10" s="152" customFormat="1" x14ac:dyDescent="0.25">
      <c r="A46" s="164"/>
      <c r="B46" s="163"/>
      <c r="D46" s="161"/>
      <c r="E46" s="160"/>
      <c r="F46" s="160"/>
      <c r="H46" s="161"/>
      <c r="I46" s="156"/>
    </row>
    <row r="47" spans="1:10" s="152" customFormat="1" x14ac:dyDescent="0.25">
      <c r="A47" s="152" t="s">
        <v>232</v>
      </c>
      <c r="I47" s="156"/>
    </row>
    <row r="48" spans="1:10" s="152" customFormat="1" x14ac:dyDescent="0.25">
      <c r="A48" s="152" t="s">
        <v>231</v>
      </c>
      <c r="B48" s="156">
        <v>21.99</v>
      </c>
      <c r="C48" s="156">
        <v>21.69</v>
      </c>
      <c r="D48" s="157">
        <v>0.50980000000000003</v>
      </c>
      <c r="E48" s="156">
        <v>2</v>
      </c>
      <c r="F48" s="156">
        <v>0.96</v>
      </c>
      <c r="H48" s="157"/>
      <c r="I48" s="156"/>
      <c r="J48" s="168"/>
    </row>
    <row r="49" spans="1:9" s="152" customFormat="1" x14ac:dyDescent="0.25">
      <c r="C49" s="160"/>
      <c r="D49" s="160"/>
      <c r="E49" s="160"/>
      <c r="I49" s="156"/>
    </row>
    <row r="50" spans="1:9" s="152" customFormat="1" ht="78" customHeight="1" x14ac:dyDescent="0.25">
      <c r="A50" s="177" t="s">
        <v>253</v>
      </c>
      <c r="B50" s="177"/>
      <c r="C50" s="177"/>
      <c r="D50" s="177"/>
      <c r="E50" s="177"/>
    </row>
    <row r="51" spans="1:9" s="152" customFormat="1" x14ac:dyDescent="0.25">
      <c r="C51" s="160"/>
      <c r="D51" s="160"/>
      <c r="E51" s="160"/>
    </row>
    <row r="52" spans="1:9" s="152" customFormat="1" ht="101.25" customHeight="1" x14ac:dyDescent="0.25">
      <c r="A52" s="177" t="s">
        <v>252</v>
      </c>
      <c r="B52" s="177"/>
      <c r="C52" s="177"/>
      <c r="D52" s="177"/>
      <c r="E52" s="177"/>
      <c r="G52" s="168"/>
    </row>
    <row r="53" spans="1:9" s="152" customFormat="1" x14ac:dyDescent="0.25">
      <c r="C53" s="160"/>
      <c r="D53" s="160"/>
      <c r="E53" s="160"/>
    </row>
    <row r="54" spans="1:9" s="152" customFormat="1" ht="63.75" customHeight="1" x14ac:dyDescent="0.25">
      <c r="A54" s="177" t="s">
        <v>251</v>
      </c>
      <c r="B54" s="177"/>
      <c r="C54" s="177"/>
      <c r="D54" s="177"/>
      <c r="E54" s="177"/>
    </row>
    <row r="55" spans="1:9" s="152" customFormat="1" x14ac:dyDescent="0.25">
      <c r="B55" s="160"/>
      <c r="C55" s="160"/>
      <c r="D55" s="160"/>
      <c r="E55" s="160"/>
    </row>
    <row r="56" spans="1:9" s="152" customFormat="1" x14ac:dyDescent="0.25">
      <c r="A56" s="152" t="s">
        <v>250</v>
      </c>
      <c r="B56" s="160"/>
      <c r="C56" s="160"/>
      <c r="D56" s="160"/>
      <c r="E56" s="160"/>
    </row>
    <row r="57" spans="1:9" s="152" customFormat="1" x14ac:dyDescent="0.25">
      <c r="B57" s="160"/>
      <c r="C57" s="160"/>
      <c r="D57" s="160"/>
      <c r="E57" s="160"/>
    </row>
    <row r="58" spans="1:9" s="152" customFormat="1" ht="15.6" x14ac:dyDescent="0.3">
      <c r="A58" s="167" t="s">
        <v>249</v>
      </c>
      <c r="B58" s="164"/>
      <c r="C58" s="164"/>
      <c r="D58" s="164"/>
    </row>
    <row r="59" spans="1:9" x14ac:dyDescent="0.25">
      <c r="B59" s="160"/>
      <c r="C59" s="164" t="s">
        <v>248</v>
      </c>
      <c r="D59" s="160"/>
      <c r="E59" s="160" t="s">
        <v>247</v>
      </c>
      <c r="F59" s="160" t="s">
        <v>247</v>
      </c>
    </row>
    <row r="60" spans="1:9" s="152" customFormat="1" x14ac:dyDescent="0.25">
      <c r="B60" s="164" t="s">
        <v>246</v>
      </c>
      <c r="C60" s="164" t="s">
        <v>245</v>
      </c>
      <c r="D60" s="164" t="s">
        <v>244</v>
      </c>
      <c r="E60" s="160" t="s">
        <v>243</v>
      </c>
      <c r="F60" s="160" t="s">
        <v>243</v>
      </c>
    </row>
    <row r="61" spans="1:9" x14ac:dyDescent="0.25">
      <c r="A61" s="164"/>
      <c r="B61" s="164" t="s">
        <v>242</v>
      </c>
      <c r="C61" s="164" t="s">
        <v>241</v>
      </c>
      <c r="D61" s="164" t="s">
        <v>240</v>
      </c>
      <c r="E61" s="160" t="s">
        <v>239</v>
      </c>
      <c r="F61" s="160" t="s">
        <v>238</v>
      </c>
    </row>
    <row r="62" spans="1:9" s="152" customFormat="1" x14ac:dyDescent="0.25">
      <c r="A62" s="164" t="s">
        <v>237</v>
      </c>
      <c r="B62" s="156">
        <v>28.5</v>
      </c>
      <c r="C62" s="156">
        <v>30.91</v>
      </c>
      <c r="D62" s="157">
        <v>0.11219999999999999</v>
      </c>
      <c r="E62" s="156">
        <v>1.1399999999999999</v>
      </c>
      <c r="F62" s="156">
        <v>0</v>
      </c>
    </row>
    <row r="63" spans="1:9" s="152" customFormat="1" x14ac:dyDescent="0.25">
      <c r="A63" s="164" t="s">
        <v>236</v>
      </c>
      <c r="B63" s="156">
        <v>25</v>
      </c>
      <c r="C63" s="158">
        <v>25.74</v>
      </c>
      <c r="D63" s="157">
        <v>0.46339999999999998</v>
      </c>
      <c r="E63" s="156">
        <v>1.25</v>
      </c>
      <c r="F63" s="156">
        <v>0.02</v>
      </c>
    </row>
    <row r="64" spans="1:9" x14ac:dyDescent="0.25">
      <c r="A64" s="164" t="s">
        <v>235</v>
      </c>
      <c r="B64" s="156">
        <v>24</v>
      </c>
      <c r="C64" s="158">
        <v>24.42</v>
      </c>
      <c r="D64" s="157">
        <v>0.56740000000000002</v>
      </c>
      <c r="E64" s="156">
        <v>1.28</v>
      </c>
      <c r="F64" s="156">
        <v>0.11</v>
      </c>
    </row>
    <row r="65" spans="1:6" s="152" customFormat="1" x14ac:dyDescent="0.25">
      <c r="A65" s="164" t="s">
        <v>234</v>
      </c>
      <c r="B65" s="156">
        <v>20.5</v>
      </c>
      <c r="C65" s="166" t="s">
        <v>233</v>
      </c>
      <c r="D65" s="166" t="s">
        <v>233</v>
      </c>
      <c r="E65" s="165" t="s">
        <v>233</v>
      </c>
      <c r="F65" s="165" t="s">
        <v>233</v>
      </c>
    </row>
    <row r="66" spans="1:6" s="152" customFormat="1" x14ac:dyDescent="0.25">
      <c r="A66" s="164"/>
      <c r="B66" s="163"/>
      <c r="C66" s="162"/>
      <c r="D66" s="161"/>
      <c r="E66" s="160"/>
      <c r="F66" s="160"/>
    </row>
    <row r="67" spans="1:6" s="152" customFormat="1" x14ac:dyDescent="0.25">
      <c r="A67" s="152" t="s">
        <v>232</v>
      </c>
      <c r="C67" s="159"/>
    </row>
    <row r="68" spans="1:6" s="152" customFormat="1" x14ac:dyDescent="0.25">
      <c r="A68" s="152" t="s">
        <v>231</v>
      </c>
      <c r="B68" s="156">
        <v>23.49</v>
      </c>
      <c r="C68" s="158">
        <v>23.5</v>
      </c>
      <c r="D68" s="157">
        <v>0.54669999999999996</v>
      </c>
      <c r="E68" s="156">
        <v>1.44</v>
      </c>
      <c r="F68" s="156">
        <v>0.35</v>
      </c>
    </row>
    <row r="70" spans="1:6" s="152" customFormat="1" x14ac:dyDescent="0.25"/>
    <row r="71" spans="1:6" s="152" customFormat="1" ht="69.75" customHeight="1" x14ac:dyDescent="0.25">
      <c r="A71" s="177" t="s">
        <v>230</v>
      </c>
      <c r="B71" s="177"/>
      <c r="C71" s="177"/>
      <c r="D71" s="177"/>
      <c r="E71" s="177"/>
    </row>
    <row r="72" spans="1:6" s="152" customFormat="1" ht="15.6" x14ac:dyDescent="0.3">
      <c r="B72" s="155"/>
    </row>
    <row r="73" spans="1:6" s="152" customFormat="1" ht="96" customHeight="1" x14ac:dyDescent="0.25">
      <c r="A73" s="177" t="s">
        <v>229</v>
      </c>
      <c r="B73" s="177"/>
      <c r="C73" s="177"/>
      <c r="D73" s="177"/>
      <c r="E73" s="177"/>
    </row>
    <row r="75" spans="1:6" s="152" customFormat="1" ht="51" customHeight="1" x14ac:dyDescent="0.25">
      <c r="A75" s="177"/>
      <c r="B75" s="177"/>
      <c r="C75" s="177"/>
      <c r="D75" s="177"/>
      <c r="E75" s="177"/>
    </row>
    <row r="76" spans="1:6" s="152" customFormat="1" x14ac:dyDescent="0.25"/>
    <row r="78" spans="1:6" x14ac:dyDescent="0.25">
      <c r="C78" s="154"/>
      <c r="D78" s="154"/>
      <c r="F78" s="154"/>
    </row>
    <row r="98" spans="3:3" x14ac:dyDescent="0.25">
      <c r="C98" s="151"/>
    </row>
    <row r="99" spans="3:3" x14ac:dyDescent="0.25">
      <c r="C99" s="153"/>
    </row>
  </sheetData>
  <mergeCells count="15">
    <mergeCell ref="A71:E71"/>
    <mergeCell ref="A73:E73"/>
    <mergeCell ref="A75:E75"/>
    <mergeCell ref="A29:E29"/>
    <mergeCell ref="A32:E32"/>
    <mergeCell ref="A34:E34"/>
    <mergeCell ref="A50:E50"/>
    <mergeCell ref="A52:E52"/>
    <mergeCell ref="A54:E54"/>
    <mergeCell ref="A27:E27"/>
    <mergeCell ref="A5:E5"/>
    <mergeCell ref="A17:E17"/>
    <mergeCell ref="A19:E19"/>
    <mergeCell ref="A21:E21"/>
    <mergeCell ref="A24:E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83EE1-1E9E-42D8-B74B-828952116662}">
  <dimension ref="A1:M92"/>
  <sheetViews>
    <sheetView topLeftCell="A68" zoomScale="120" zoomScaleNormal="120" workbookViewId="0">
      <selection activeCell="N24" sqref="N24"/>
    </sheetView>
  </sheetViews>
  <sheetFormatPr defaultRowHeight="14.4" x14ac:dyDescent="0.3"/>
  <cols>
    <col min="1" max="1" width="5.5546875" bestFit="1" customWidth="1"/>
    <col min="2" max="2" width="6" bestFit="1" customWidth="1"/>
    <col min="3" max="3" width="49.21875" customWidth="1"/>
    <col min="4" max="4" width="14" hidden="1" customWidth="1"/>
    <col min="5" max="8" width="13.77734375" style="63" customWidth="1"/>
    <col min="9" max="9" width="11.77734375" bestFit="1" customWidth="1"/>
    <col min="10" max="10" width="6.21875" bestFit="1" customWidth="1"/>
    <col min="11" max="11" width="15.77734375" customWidth="1"/>
    <col min="12" max="12" width="15.21875" bestFit="1" customWidth="1"/>
    <col min="13" max="13" width="9.21875" bestFit="1" customWidth="1"/>
  </cols>
  <sheetData>
    <row r="1" spans="1:13" x14ac:dyDescent="0.3">
      <c r="C1" s="11" t="s">
        <v>16</v>
      </c>
      <c r="D1" s="12"/>
      <c r="E1" s="12" t="s">
        <v>17</v>
      </c>
      <c r="F1" s="12" t="s">
        <v>18</v>
      </c>
      <c r="G1" s="12" t="s">
        <v>19</v>
      </c>
      <c r="H1" s="12" t="s">
        <v>20</v>
      </c>
    </row>
    <row r="2" spans="1:13" x14ac:dyDescent="0.3">
      <c r="C2" s="13" t="s">
        <v>21</v>
      </c>
      <c r="D2" s="64"/>
      <c r="E2" s="64">
        <v>0.54166000000000003</v>
      </c>
      <c r="F2" s="64">
        <v>0.53187499999999999</v>
      </c>
      <c r="G2" s="64">
        <v>0.53102000000000005</v>
      </c>
      <c r="H2" s="64">
        <v>0.53102000000000005</v>
      </c>
    </row>
    <row r="3" spans="1:13" x14ac:dyDescent="0.3">
      <c r="C3" s="13" t="s">
        <v>22</v>
      </c>
      <c r="D3" s="64"/>
      <c r="E3" s="64">
        <v>0.44701334308457058</v>
      </c>
      <c r="F3" s="64">
        <v>0.45662500000000006</v>
      </c>
      <c r="G3" s="64">
        <v>0.45748</v>
      </c>
      <c r="H3" s="64">
        <v>0.45748</v>
      </c>
    </row>
    <row r="4" spans="1:13" x14ac:dyDescent="0.3">
      <c r="C4" s="13" t="s">
        <v>23</v>
      </c>
      <c r="D4" s="64"/>
      <c r="E4" s="64">
        <v>1.1326656915429443E-2</v>
      </c>
      <c r="F4" s="64">
        <v>1.1499999999999998E-2</v>
      </c>
      <c r="G4" s="64">
        <v>1.15E-2</v>
      </c>
      <c r="H4" s="64">
        <v>1.1500000000000002E-2</v>
      </c>
    </row>
    <row r="5" spans="1:13" x14ac:dyDescent="0.3">
      <c r="C5" s="14" t="s">
        <v>24</v>
      </c>
      <c r="D5" s="64"/>
      <c r="E5" s="64">
        <f t="shared" ref="E5:H5" si="0">SUM(E2:E4)</f>
        <v>1</v>
      </c>
      <c r="F5" s="64">
        <f t="shared" si="0"/>
        <v>1</v>
      </c>
      <c r="G5" s="64">
        <f t="shared" si="0"/>
        <v>1</v>
      </c>
      <c r="H5" s="64">
        <f t="shared" si="0"/>
        <v>1</v>
      </c>
    </row>
    <row r="6" spans="1:13" x14ac:dyDescent="0.3">
      <c r="C6" s="15"/>
      <c r="D6" s="15"/>
      <c r="E6" s="16"/>
      <c r="F6" s="16"/>
      <c r="G6" s="16"/>
      <c r="H6" s="16"/>
    </row>
    <row r="7" spans="1:13" x14ac:dyDescent="0.3">
      <c r="C7" s="17" t="s">
        <v>25</v>
      </c>
      <c r="D7" s="17"/>
      <c r="E7" s="18" t="s">
        <v>26</v>
      </c>
      <c r="F7" s="18" t="s">
        <v>26</v>
      </c>
      <c r="G7" s="18" t="s">
        <v>26</v>
      </c>
      <c r="H7" s="18" t="s">
        <v>26</v>
      </c>
    </row>
    <row r="8" spans="1:13" x14ac:dyDescent="0.3">
      <c r="A8" s="19"/>
      <c r="B8" s="19"/>
      <c r="C8" s="20" t="s">
        <v>27</v>
      </c>
      <c r="D8" s="65" t="s">
        <v>28</v>
      </c>
      <c r="E8" s="65" t="s">
        <v>29</v>
      </c>
      <c r="F8" s="65" t="s">
        <v>30</v>
      </c>
      <c r="G8" s="65" t="s">
        <v>76</v>
      </c>
      <c r="H8" s="65" t="s">
        <v>77</v>
      </c>
    </row>
    <row r="9" spans="1:13" hidden="1" x14ac:dyDescent="0.3">
      <c r="A9" s="19"/>
      <c r="B9" s="19"/>
      <c r="C9" s="20"/>
      <c r="D9" s="65"/>
      <c r="E9" s="65"/>
      <c r="F9" s="65"/>
      <c r="G9" s="65"/>
      <c r="H9" s="65"/>
    </row>
    <row r="10" spans="1:13" hidden="1" x14ac:dyDescent="0.3">
      <c r="A10" s="19"/>
      <c r="B10" s="19"/>
      <c r="C10" s="17"/>
      <c r="D10" s="66"/>
      <c r="E10" s="66"/>
      <c r="F10" s="90"/>
      <c r="G10" s="90"/>
      <c r="H10" s="90"/>
    </row>
    <row r="11" spans="1:13" hidden="1" x14ac:dyDescent="0.3">
      <c r="A11" s="19"/>
      <c r="B11" s="19"/>
      <c r="C11" s="17"/>
      <c r="D11" s="67"/>
      <c r="E11" s="67"/>
      <c r="F11" s="67"/>
      <c r="G11" s="67"/>
      <c r="H11" s="67"/>
    </row>
    <row r="12" spans="1:13" hidden="1" x14ac:dyDescent="0.3">
      <c r="A12" s="19"/>
      <c r="B12" s="19"/>
      <c r="C12" s="17"/>
      <c r="D12" s="21"/>
      <c r="E12" s="21"/>
      <c r="F12" s="21"/>
      <c r="G12" s="21"/>
      <c r="H12" s="21"/>
      <c r="I12" s="6"/>
      <c r="J12" s="6"/>
      <c r="K12" s="6"/>
      <c r="L12" s="6"/>
      <c r="M12" s="6"/>
    </row>
    <row r="13" spans="1:13" x14ac:dyDescent="0.3">
      <c r="A13" s="19"/>
      <c r="B13" s="19"/>
      <c r="C13" s="17"/>
      <c r="D13" s="17"/>
      <c r="E13" s="21"/>
      <c r="F13" s="21"/>
      <c r="G13" s="21"/>
      <c r="H13" s="21"/>
      <c r="I13" s="6"/>
      <c r="J13" s="6"/>
      <c r="K13" s="6"/>
      <c r="L13" s="6"/>
      <c r="M13" s="6"/>
    </row>
    <row r="14" spans="1:13" x14ac:dyDescent="0.3">
      <c r="A14" s="19"/>
      <c r="B14" s="19"/>
      <c r="C14" s="20" t="s">
        <v>200</v>
      </c>
      <c r="D14" s="65"/>
      <c r="E14" s="65"/>
      <c r="F14" s="65"/>
      <c r="G14" s="65"/>
      <c r="H14" s="65"/>
      <c r="I14" s="6"/>
      <c r="J14" s="6"/>
      <c r="K14" s="6"/>
      <c r="L14" s="6"/>
      <c r="M14" s="6"/>
    </row>
    <row r="15" spans="1:13" x14ac:dyDescent="0.3">
      <c r="A15" s="19"/>
      <c r="B15" s="19"/>
      <c r="C15" s="17" t="s">
        <v>78</v>
      </c>
      <c r="D15" s="66">
        <v>0</v>
      </c>
      <c r="E15" s="66">
        <v>0</v>
      </c>
      <c r="F15" s="66">
        <f>'Wage Floor Calculation'!J90</f>
        <v>0</v>
      </c>
      <c r="G15" s="66">
        <f>'Wage Floor Calculation'!J93</f>
        <v>2.5509443352466432</v>
      </c>
      <c r="H15" s="90">
        <f>'Wage Floor Calculation'!J96</f>
        <v>4.1558680809208521</v>
      </c>
      <c r="I15" s="6"/>
      <c r="J15" s="6"/>
      <c r="K15" s="6"/>
      <c r="L15" s="6"/>
      <c r="M15" s="6"/>
    </row>
    <row r="16" spans="1:13" x14ac:dyDescent="0.3">
      <c r="A16" s="19"/>
      <c r="B16" s="19"/>
      <c r="C16" s="17" t="s">
        <v>79</v>
      </c>
      <c r="D16" s="67">
        <v>3746114.8917382928</v>
      </c>
      <c r="E16" s="67">
        <v>3762982.4661353119</v>
      </c>
      <c r="F16" s="67">
        <v>3762982.4661353119</v>
      </c>
      <c r="G16" s="67">
        <v>3762982.4661353119</v>
      </c>
      <c r="H16" s="67">
        <v>3762982.4661353119</v>
      </c>
      <c r="I16" s="6"/>
      <c r="J16" s="6"/>
      <c r="K16" s="6"/>
      <c r="L16" s="6"/>
      <c r="M16" s="6"/>
    </row>
    <row r="17" spans="1:13" x14ac:dyDescent="0.3">
      <c r="A17" s="19"/>
      <c r="B17" s="19"/>
      <c r="C17" s="17" t="s">
        <v>80</v>
      </c>
      <c r="D17" s="21">
        <f t="shared" ref="D17:H17" si="1">+D15*D16</f>
        <v>0</v>
      </c>
      <c r="E17" s="21">
        <f t="shared" si="1"/>
        <v>0</v>
      </c>
      <c r="F17" s="21">
        <f t="shared" si="1"/>
        <v>0</v>
      </c>
      <c r="G17" s="21">
        <f t="shared" si="1"/>
        <v>9599158.8056203164</v>
      </c>
      <c r="H17" s="21">
        <f t="shared" si="1"/>
        <v>15638458.720076574</v>
      </c>
      <c r="I17" s="6"/>
      <c r="J17" s="6"/>
      <c r="K17" s="6"/>
      <c r="L17" s="6"/>
      <c r="M17" s="6"/>
    </row>
    <row r="18" spans="1:13" x14ac:dyDescent="0.3">
      <c r="A18" s="19"/>
      <c r="B18" s="19"/>
      <c r="C18" s="17"/>
      <c r="D18" s="21"/>
      <c r="E18" s="21"/>
      <c r="F18" s="21"/>
      <c r="G18" s="21"/>
      <c r="H18" s="21"/>
      <c r="I18" s="6"/>
      <c r="J18" s="6"/>
      <c r="K18" s="6"/>
      <c r="L18" s="6"/>
      <c r="M18" s="6"/>
    </row>
    <row r="19" spans="1:13" x14ac:dyDescent="0.3">
      <c r="A19" s="19"/>
      <c r="B19" s="19"/>
      <c r="C19" s="17" t="s">
        <v>81</v>
      </c>
      <c r="D19" s="17"/>
      <c r="E19" s="21"/>
      <c r="F19" s="21"/>
      <c r="G19" s="21"/>
      <c r="H19" s="21"/>
      <c r="I19" s="6"/>
      <c r="J19" s="6"/>
      <c r="K19" s="6"/>
      <c r="L19" s="6"/>
      <c r="M19" s="6"/>
    </row>
    <row r="20" spans="1:13" x14ac:dyDescent="0.3">
      <c r="A20" s="19"/>
      <c r="B20" s="19"/>
      <c r="C20" s="17" t="s">
        <v>117</v>
      </c>
      <c r="D20" s="21">
        <v>0</v>
      </c>
      <c r="E20" s="21">
        <f>(E12+E17)*0.004</f>
        <v>0</v>
      </c>
      <c r="F20" s="21">
        <f t="shared" ref="F20:G20" si="2">(F12+F17)*0.004</f>
        <v>0</v>
      </c>
      <c r="G20" s="21">
        <f t="shared" si="2"/>
        <v>38396.635222481265</v>
      </c>
      <c r="H20" s="21">
        <f>(H12+H17)*0.004</f>
        <v>62553.834880306298</v>
      </c>
      <c r="I20" s="6"/>
      <c r="J20" s="6"/>
      <c r="K20" s="6"/>
      <c r="L20" s="6"/>
      <c r="M20" s="6"/>
    </row>
    <row r="21" spans="1:13" x14ac:dyDescent="0.3">
      <c r="A21" s="19"/>
      <c r="B21" s="19"/>
      <c r="C21" s="17" t="s">
        <v>118</v>
      </c>
      <c r="D21" s="21">
        <v>0</v>
      </c>
      <c r="E21" s="21">
        <f>(E12+E17)*0.0463</f>
        <v>0</v>
      </c>
      <c r="F21" s="21">
        <f t="shared" ref="F21:G21" si="3">(F12+F17)*0.0463</f>
        <v>0</v>
      </c>
      <c r="G21" s="21">
        <f t="shared" si="3"/>
        <v>444441.05270022067</v>
      </c>
      <c r="H21" s="21">
        <f>(H12+H17)*0.0463</f>
        <v>724060.63873954536</v>
      </c>
      <c r="I21" s="6"/>
      <c r="J21" s="6"/>
      <c r="K21" s="6"/>
      <c r="L21" s="6"/>
      <c r="M21" s="6"/>
    </row>
    <row r="22" spans="1:13" x14ac:dyDescent="0.3">
      <c r="A22" s="19"/>
      <c r="B22" s="19"/>
      <c r="C22" s="17" t="s">
        <v>82</v>
      </c>
      <c r="D22" s="21">
        <v>0</v>
      </c>
      <c r="E22" s="21">
        <f>(E12+E17)*0.0003</f>
        <v>0</v>
      </c>
      <c r="F22" s="21">
        <f t="shared" ref="F22:G22" si="4">(F12+F17)*0.0003</f>
        <v>0</v>
      </c>
      <c r="G22" s="21">
        <f t="shared" si="4"/>
        <v>2879.7476416860945</v>
      </c>
      <c r="H22" s="21">
        <f>(H12+H17)*0.0003</f>
        <v>4691.5376160229716</v>
      </c>
      <c r="I22" s="6"/>
      <c r="J22" s="6"/>
      <c r="K22" s="6"/>
      <c r="L22" s="6"/>
      <c r="M22" s="6"/>
    </row>
    <row r="23" spans="1:13" x14ac:dyDescent="0.3">
      <c r="A23" s="19"/>
      <c r="B23" s="19"/>
      <c r="C23" s="17" t="s">
        <v>83</v>
      </c>
      <c r="D23" s="21">
        <v>0</v>
      </c>
      <c r="E23" s="21">
        <f t="shared" ref="E23:H23" si="5">SUM(E20:E22)</f>
        <v>0</v>
      </c>
      <c r="F23" s="21">
        <f t="shared" si="5"/>
        <v>0</v>
      </c>
      <c r="G23" s="21">
        <f t="shared" si="5"/>
        <v>485717.43556438806</v>
      </c>
      <c r="H23" s="21">
        <f t="shared" si="5"/>
        <v>791306.01123587461</v>
      </c>
      <c r="I23" s="6"/>
      <c r="J23" s="6"/>
      <c r="K23" s="6"/>
      <c r="L23" s="6"/>
      <c r="M23" s="6"/>
    </row>
    <row r="24" spans="1:13" x14ac:dyDescent="0.3">
      <c r="A24" s="19"/>
      <c r="B24" s="19"/>
      <c r="C24" s="17"/>
      <c r="D24" s="17"/>
      <c r="E24" s="21"/>
      <c r="F24" s="21"/>
      <c r="G24" s="21"/>
      <c r="H24" s="21"/>
      <c r="I24" s="6"/>
      <c r="J24" s="6"/>
      <c r="K24" s="6"/>
      <c r="L24" s="6"/>
      <c r="M24" s="6"/>
    </row>
    <row r="25" spans="1:13" x14ac:dyDescent="0.3">
      <c r="A25" s="19"/>
      <c r="B25" s="19"/>
      <c r="C25" s="17" t="s">
        <v>31</v>
      </c>
      <c r="D25" s="21">
        <f>+D12+D23+D17</f>
        <v>0</v>
      </c>
      <c r="E25" s="21">
        <f t="shared" ref="E25:G25" si="6">+E12+E23+E17</f>
        <v>0</v>
      </c>
      <c r="F25" s="21">
        <f t="shared" si="6"/>
        <v>0</v>
      </c>
      <c r="G25" s="21">
        <f t="shared" si="6"/>
        <v>10084876.241184704</v>
      </c>
      <c r="H25" s="21">
        <f t="shared" ref="H25" si="7">+H12+H23+H17</f>
        <v>16429764.731312448</v>
      </c>
    </row>
    <row r="26" spans="1:13" x14ac:dyDescent="0.3">
      <c r="A26" s="19"/>
      <c r="B26" s="19"/>
      <c r="C26" s="22" t="s">
        <v>32</v>
      </c>
      <c r="D26" s="23">
        <f t="shared" ref="D26:G26" si="8">D25/1000</f>
        <v>0</v>
      </c>
      <c r="E26" s="23">
        <f t="shared" si="8"/>
        <v>0</v>
      </c>
      <c r="F26" s="23">
        <f t="shared" si="8"/>
        <v>0</v>
      </c>
      <c r="G26" s="23">
        <f t="shared" si="8"/>
        <v>10084.876241184704</v>
      </c>
      <c r="H26" s="23">
        <f t="shared" ref="H26" si="9">ROUND(H25/1000,0)</f>
        <v>16430</v>
      </c>
    </row>
    <row r="27" spans="1:13" x14ac:dyDescent="0.3">
      <c r="A27" s="19"/>
      <c r="B27" s="19"/>
      <c r="C27" s="13"/>
      <c r="D27" s="13"/>
      <c r="E27" s="18"/>
      <c r="F27" s="18"/>
      <c r="G27" s="18"/>
      <c r="H27" s="18"/>
    </row>
    <row r="28" spans="1:13" x14ac:dyDescent="0.3">
      <c r="A28" s="19"/>
      <c r="B28" s="19"/>
      <c r="C28" s="24" t="s">
        <v>33</v>
      </c>
      <c r="D28" s="24"/>
      <c r="E28" s="25" t="s">
        <v>19</v>
      </c>
      <c r="F28" s="25" t="s">
        <v>20</v>
      </c>
      <c r="G28" s="25" t="s">
        <v>74</v>
      </c>
      <c r="H28" s="25" t="s">
        <v>75</v>
      </c>
    </row>
    <row r="29" spans="1:13" x14ac:dyDescent="0.3">
      <c r="A29" s="19"/>
      <c r="B29" s="19"/>
      <c r="C29" s="13"/>
      <c r="D29" s="13"/>
      <c r="E29" s="18"/>
      <c r="F29" s="18"/>
      <c r="G29" s="18"/>
      <c r="H29" s="18"/>
    </row>
    <row r="30" spans="1:13" x14ac:dyDescent="0.3">
      <c r="C30" s="26" t="s">
        <v>34</v>
      </c>
      <c r="D30" s="68">
        <v>0</v>
      </c>
      <c r="E30" s="27">
        <v>0</v>
      </c>
      <c r="F30" s="27">
        <f t="shared" ref="F30" si="10">ROUND(151/365,4)</f>
        <v>0.41370000000000001</v>
      </c>
      <c r="G30" s="27">
        <f t="shared" ref="G30:H30" si="11">+F30</f>
        <v>0.41370000000000001</v>
      </c>
      <c r="H30" s="27">
        <f t="shared" si="11"/>
        <v>0.41370000000000001</v>
      </c>
    </row>
    <row r="31" spans="1:13" x14ac:dyDescent="0.3">
      <c r="C31" s="26" t="s">
        <v>35</v>
      </c>
      <c r="D31" s="26"/>
      <c r="E31" s="28">
        <f>ROUND(D26*(1-D30)+E26*E30,0)</f>
        <v>0</v>
      </c>
      <c r="F31" s="28">
        <f>ROUND(E26*(1-E30)+F26*F30,0)</f>
        <v>0</v>
      </c>
      <c r="G31" s="28">
        <f>ROUND(F26*(1-F30)+G26*G30,0)</f>
        <v>4172</v>
      </c>
      <c r="H31" s="28">
        <f t="shared" ref="H31" si="12">ROUND(G26*(1-G30)+H26*H30,0)</f>
        <v>12710</v>
      </c>
    </row>
    <row r="32" spans="1:13" x14ac:dyDescent="0.3">
      <c r="C32" s="17" t="s">
        <v>36</v>
      </c>
      <c r="D32" s="17"/>
      <c r="E32" s="29">
        <f t="shared" ref="E32:H32" si="13">SUM(E31,E37)</f>
        <v>0</v>
      </c>
      <c r="F32" s="29">
        <f t="shared" si="13"/>
        <v>0</v>
      </c>
      <c r="G32" s="29">
        <f t="shared" si="13"/>
        <v>4172</v>
      </c>
      <c r="H32" s="29">
        <f t="shared" si="13"/>
        <v>12710</v>
      </c>
    </row>
    <row r="33" spans="3:11" x14ac:dyDescent="0.3">
      <c r="C33" s="30" t="s">
        <v>37</v>
      </c>
      <c r="D33" s="30"/>
      <c r="E33" s="28">
        <f t="shared" ref="E33:H35" si="14">ROUND(E$32*E2,0)</f>
        <v>0</v>
      </c>
      <c r="F33" s="28">
        <f t="shared" si="14"/>
        <v>0</v>
      </c>
      <c r="G33" s="28">
        <f t="shared" si="14"/>
        <v>2215</v>
      </c>
      <c r="H33" s="28">
        <f t="shared" si="14"/>
        <v>6749</v>
      </c>
    </row>
    <row r="34" spans="3:11" x14ac:dyDescent="0.3">
      <c r="C34" s="30" t="s">
        <v>38</v>
      </c>
      <c r="D34" s="30"/>
      <c r="E34" s="28">
        <f t="shared" si="14"/>
        <v>0</v>
      </c>
      <c r="F34" s="28">
        <f t="shared" si="14"/>
        <v>0</v>
      </c>
      <c r="G34" s="28">
        <f t="shared" si="14"/>
        <v>1909</v>
      </c>
      <c r="H34" s="28">
        <f t="shared" si="14"/>
        <v>5815</v>
      </c>
    </row>
    <row r="35" spans="3:11" x14ac:dyDescent="0.3">
      <c r="C35" s="30" t="s">
        <v>39</v>
      </c>
      <c r="D35" s="30"/>
      <c r="E35" s="28">
        <f t="shared" si="14"/>
        <v>0</v>
      </c>
      <c r="F35" s="28">
        <f t="shared" si="14"/>
        <v>0</v>
      </c>
      <c r="G35" s="28">
        <f t="shared" si="14"/>
        <v>48</v>
      </c>
      <c r="H35" s="28">
        <f t="shared" si="14"/>
        <v>146</v>
      </c>
    </row>
    <row r="36" spans="3:11" x14ac:dyDescent="0.3">
      <c r="C36" s="26" t="s">
        <v>40</v>
      </c>
      <c r="D36" s="26"/>
      <c r="E36" s="28">
        <f t="shared" ref="E36:H36" si="15">ROUND(E34,0)</f>
        <v>0</v>
      </c>
      <c r="F36" s="28">
        <f t="shared" si="15"/>
        <v>0</v>
      </c>
      <c r="G36" s="28">
        <f t="shared" si="15"/>
        <v>1909</v>
      </c>
      <c r="H36" s="28">
        <f t="shared" si="15"/>
        <v>5815</v>
      </c>
      <c r="I36" s="9"/>
    </row>
    <row r="37" spans="3:11" ht="12" customHeight="1" x14ac:dyDescent="0.3">
      <c r="C37" s="31"/>
      <c r="D37" s="31"/>
      <c r="E37" s="21"/>
      <c r="F37" s="21"/>
      <c r="G37" s="21"/>
      <c r="H37" s="21"/>
    </row>
    <row r="38" spans="3:11" x14ac:dyDescent="0.3">
      <c r="C38" s="26" t="s">
        <v>41</v>
      </c>
      <c r="D38" s="26"/>
      <c r="E38" s="28">
        <v>0</v>
      </c>
      <c r="F38" s="28">
        <v>0</v>
      </c>
      <c r="G38" s="28">
        <v>0</v>
      </c>
      <c r="H38" s="28">
        <v>0</v>
      </c>
    </row>
    <row r="39" spans="3:11" x14ac:dyDescent="0.3">
      <c r="C39" s="26" t="s">
        <v>42</v>
      </c>
      <c r="D39" s="26"/>
      <c r="E39" s="28">
        <v>0</v>
      </c>
      <c r="F39" s="28">
        <v>0</v>
      </c>
      <c r="G39" s="28">
        <v>0</v>
      </c>
      <c r="H39" s="28">
        <v>0</v>
      </c>
    </row>
    <row r="40" spans="3:11" x14ac:dyDescent="0.3">
      <c r="C40" s="26" t="s">
        <v>43</v>
      </c>
      <c r="D40" s="26"/>
      <c r="E40" s="28">
        <f t="shared" ref="E40" si="16">ROUND(E38*-0.32,0)</f>
        <v>0</v>
      </c>
      <c r="F40" s="28">
        <f t="shared" ref="F40:H40" si="17">ROUND(F38*-0.32,0)</f>
        <v>0</v>
      </c>
      <c r="G40" s="28">
        <f t="shared" si="17"/>
        <v>0</v>
      </c>
      <c r="H40" s="28">
        <f t="shared" si="17"/>
        <v>0</v>
      </c>
    </row>
    <row r="41" spans="3:11" x14ac:dyDescent="0.3">
      <c r="C41" s="26" t="s">
        <v>44</v>
      </c>
      <c r="D41" s="26"/>
      <c r="E41" s="28">
        <v>0</v>
      </c>
      <c r="F41" s="28">
        <v>0</v>
      </c>
      <c r="G41" s="28">
        <v>0</v>
      </c>
      <c r="H41" s="28">
        <v>0</v>
      </c>
      <c r="K41" s="32"/>
    </row>
    <row r="42" spans="3:11" x14ac:dyDescent="0.3">
      <c r="C42" s="26" t="s">
        <v>45</v>
      </c>
      <c r="D42" s="26"/>
      <c r="E42" s="28">
        <v>0</v>
      </c>
      <c r="F42" s="28">
        <v>0</v>
      </c>
      <c r="G42" s="28">
        <v>0</v>
      </c>
      <c r="H42" s="28">
        <v>0</v>
      </c>
      <c r="I42" s="2"/>
      <c r="J42" s="2"/>
      <c r="K42" s="2"/>
    </row>
    <row r="43" spans="3:11" x14ac:dyDescent="0.3">
      <c r="C43" s="26" t="s">
        <v>26</v>
      </c>
      <c r="D43" s="26"/>
      <c r="E43" s="18" t="s">
        <v>26</v>
      </c>
      <c r="F43" s="18" t="s">
        <v>26</v>
      </c>
      <c r="G43" s="18" t="s">
        <v>26</v>
      </c>
      <c r="H43" s="18" t="s">
        <v>26</v>
      </c>
      <c r="I43" s="2"/>
      <c r="J43" s="2"/>
      <c r="K43" s="2"/>
    </row>
    <row r="44" spans="3:11" x14ac:dyDescent="0.3">
      <c r="C44" s="26" t="s">
        <v>46</v>
      </c>
      <c r="D44" s="26"/>
      <c r="E44" s="27">
        <f t="shared" ref="E44:H44" si="18">+E2</f>
        <v>0.54166000000000003</v>
      </c>
      <c r="F44" s="27">
        <f t="shared" si="18"/>
        <v>0.53187499999999999</v>
      </c>
      <c r="G44" s="27">
        <f t="shared" si="18"/>
        <v>0.53102000000000005</v>
      </c>
      <c r="H44" s="27">
        <f t="shared" si="18"/>
        <v>0.53102000000000005</v>
      </c>
      <c r="I44" s="9"/>
      <c r="K44" s="9"/>
    </row>
    <row r="45" spans="3:11" x14ac:dyDescent="0.3">
      <c r="C45" s="26" t="s">
        <v>47</v>
      </c>
      <c r="D45" s="26"/>
      <c r="E45" s="27">
        <f t="shared" ref="E45:H45" si="19">+E4</f>
        <v>1.1326656915429443E-2</v>
      </c>
      <c r="F45" s="27">
        <f t="shared" si="19"/>
        <v>1.1499999999999998E-2</v>
      </c>
      <c r="G45" s="27">
        <f t="shared" si="19"/>
        <v>1.15E-2</v>
      </c>
      <c r="H45" s="27">
        <f t="shared" si="19"/>
        <v>1.1500000000000002E-2</v>
      </c>
    </row>
    <row r="46" spans="3:11" x14ac:dyDescent="0.3">
      <c r="C46" s="33"/>
      <c r="D46" s="33"/>
      <c r="E46" s="34"/>
      <c r="F46" s="34"/>
      <c r="G46" s="34"/>
      <c r="H46" s="34"/>
    </row>
    <row r="47" spans="3:11" x14ac:dyDescent="0.3">
      <c r="C47" s="35" t="s">
        <v>48</v>
      </c>
      <c r="D47" s="35"/>
      <c r="E47" s="36" t="s">
        <v>19</v>
      </c>
      <c r="F47" s="36" t="s">
        <v>20</v>
      </c>
      <c r="G47" s="36" t="s">
        <v>74</v>
      </c>
      <c r="H47" s="36" t="s">
        <v>75</v>
      </c>
    </row>
    <row r="48" spans="3:11" x14ac:dyDescent="0.3">
      <c r="C48" s="37" t="s">
        <v>51</v>
      </c>
      <c r="D48" s="37"/>
      <c r="E48" s="38"/>
      <c r="F48" s="38"/>
      <c r="G48" s="38"/>
      <c r="H48" s="38"/>
    </row>
    <row r="49" spans="3:8" x14ac:dyDescent="0.3">
      <c r="C49" s="39" t="s">
        <v>52</v>
      </c>
      <c r="D49" s="39"/>
      <c r="E49" s="40">
        <f>E36+E38+E39+E41+SUM(E79:E83)+E40</f>
        <v>0</v>
      </c>
      <c r="F49" s="40">
        <f t="shared" ref="F49:H49" si="20">F36+F38+F39+F41+SUM(F79:F83)+F40</f>
        <v>0</v>
      </c>
      <c r="G49" s="40">
        <f t="shared" si="20"/>
        <v>2224.360270511183</v>
      </c>
      <c r="H49" s="40">
        <f t="shared" si="20"/>
        <v>6866.1278380656295</v>
      </c>
    </row>
    <row r="50" spans="3:8" x14ac:dyDescent="0.3">
      <c r="C50" s="41"/>
      <c r="D50" s="41"/>
      <c r="E50" s="38"/>
      <c r="F50" s="38"/>
      <c r="G50" s="38"/>
      <c r="H50" s="38"/>
    </row>
    <row r="51" spans="3:8" x14ac:dyDescent="0.3">
      <c r="C51" s="39" t="s">
        <v>53</v>
      </c>
      <c r="D51" s="39"/>
      <c r="E51" s="38"/>
      <c r="F51" s="38"/>
      <c r="G51" s="38"/>
      <c r="H51" s="38"/>
    </row>
    <row r="52" spans="3:8" x14ac:dyDescent="0.3">
      <c r="C52" s="37" t="s">
        <v>54</v>
      </c>
      <c r="D52" s="37"/>
      <c r="E52" s="38"/>
      <c r="F52" s="38"/>
      <c r="G52" s="38"/>
      <c r="H52" s="38"/>
    </row>
    <row r="53" spans="3:8" x14ac:dyDescent="0.3">
      <c r="C53" s="39" t="s">
        <v>53</v>
      </c>
      <c r="D53" s="39"/>
      <c r="E53" s="38">
        <v>0</v>
      </c>
      <c r="F53" s="38">
        <v>0</v>
      </c>
      <c r="G53" s="38">
        <v>0</v>
      </c>
      <c r="H53" s="38">
        <v>0</v>
      </c>
    </row>
    <row r="54" spans="3:8" x14ac:dyDescent="0.3">
      <c r="C54" s="39" t="s">
        <v>53</v>
      </c>
      <c r="D54" s="39"/>
      <c r="E54" s="38"/>
      <c r="F54" s="38"/>
      <c r="G54" s="38"/>
      <c r="H54" s="38"/>
    </row>
    <row r="55" spans="3:8" x14ac:dyDescent="0.3">
      <c r="C55" s="39" t="s">
        <v>53</v>
      </c>
      <c r="D55" s="39"/>
      <c r="E55" s="38"/>
      <c r="F55" s="38"/>
      <c r="G55" s="38"/>
      <c r="H55" s="38"/>
    </row>
    <row r="56" spans="3:8" x14ac:dyDescent="0.3">
      <c r="C56" s="42" t="s">
        <v>55</v>
      </c>
      <c r="D56" s="42"/>
      <c r="E56" s="38"/>
      <c r="F56" s="38"/>
      <c r="G56" s="38"/>
      <c r="H56" s="38"/>
    </row>
    <row r="57" spans="3:8" x14ac:dyDescent="0.3">
      <c r="C57" s="39" t="s">
        <v>52</v>
      </c>
      <c r="D57" s="39"/>
      <c r="E57" s="40">
        <f t="shared" ref="E57:H57" si="21">SUM(E49:E51,E53:E55)</f>
        <v>0</v>
      </c>
      <c r="F57" s="40">
        <f t="shared" si="21"/>
        <v>0</v>
      </c>
      <c r="G57" s="40">
        <f t="shared" si="21"/>
        <v>2224.360270511183</v>
      </c>
      <c r="H57" s="40">
        <f t="shared" si="21"/>
        <v>6866.1278380656295</v>
      </c>
    </row>
    <row r="58" spans="3:8" x14ac:dyDescent="0.3">
      <c r="C58" s="39" t="s">
        <v>53</v>
      </c>
      <c r="D58" s="39"/>
      <c r="E58" s="38"/>
      <c r="F58" s="38"/>
      <c r="G58" s="38"/>
      <c r="H58" s="38"/>
    </row>
    <row r="59" spans="3:8" x14ac:dyDescent="0.3">
      <c r="C59" s="39" t="s">
        <v>53</v>
      </c>
      <c r="D59" s="39"/>
      <c r="E59" s="38"/>
      <c r="F59" s="38"/>
      <c r="G59" s="38"/>
      <c r="H59" s="38"/>
    </row>
    <row r="60" spans="3:8" x14ac:dyDescent="0.3">
      <c r="C60" s="37" t="s">
        <v>56</v>
      </c>
      <c r="D60" s="37"/>
      <c r="E60" s="38"/>
      <c r="F60" s="38"/>
      <c r="G60" s="38"/>
      <c r="H60" s="38"/>
    </row>
    <row r="61" spans="3:8" x14ac:dyDescent="0.3">
      <c r="C61" s="43" t="s">
        <v>53</v>
      </c>
      <c r="D61" s="43"/>
      <c r="E61" s="40">
        <v>0</v>
      </c>
      <c r="F61" s="40">
        <v>0</v>
      </c>
      <c r="G61" s="40">
        <v>0</v>
      </c>
      <c r="H61" s="40">
        <v>0</v>
      </c>
    </row>
    <row r="62" spans="3:8" x14ac:dyDescent="0.3">
      <c r="C62" s="43" t="s">
        <v>53</v>
      </c>
      <c r="D62" s="43"/>
      <c r="E62" s="38"/>
      <c r="F62" s="38"/>
      <c r="G62" s="38"/>
      <c r="H62" s="38"/>
    </row>
    <row r="63" spans="3:8" x14ac:dyDescent="0.3">
      <c r="C63" s="43" t="s">
        <v>53</v>
      </c>
      <c r="D63" s="43"/>
      <c r="E63" s="38"/>
      <c r="F63" s="38"/>
      <c r="G63" s="38"/>
      <c r="H63" s="38"/>
    </row>
    <row r="64" spans="3:8" x14ac:dyDescent="0.3">
      <c r="C64" s="37" t="s">
        <v>57</v>
      </c>
      <c r="D64" s="37"/>
      <c r="E64" s="38"/>
      <c r="F64" s="38"/>
      <c r="G64" s="38"/>
      <c r="H64" s="38"/>
    </row>
    <row r="65" spans="1:8" x14ac:dyDescent="0.3">
      <c r="C65" s="39" t="s">
        <v>52</v>
      </c>
      <c r="D65" s="39"/>
      <c r="E65" s="40">
        <f t="shared" ref="E65:H65" si="22">E57+E61</f>
        <v>0</v>
      </c>
      <c r="F65" s="40">
        <f t="shared" si="22"/>
        <v>0</v>
      </c>
      <c r="G65" s="40">
        <f t="shared" si="22"/>
        <v>2224.360270511183</v>
      </c>
      <c r="H65" s="40">
        <f t="shared" si="22"/>
        <v>6866.1278380656295</v>
      </c>
    </row>
    <row r="66" spans="1:8" x14ac:dyDescent="0.3">
      <c r="C66" s="39" t="s">
        <v>53</v>
      </c>
      <c r="D66" s="39"/>
      <c r="E66" s="40"/>
      <c r="F66" s="40"/>
      <c r="G66" s="40"/>
      <c r="H66" s="40"/>
    </row>
    <row r="67" spans="1:8" x14ac:dyDescent="0.3">
      <c r="C67" s="39" t="s">
        <v>53</v>
      </c>
      <c r="D67" s="39"/>
      <c r="E67" s="40"/>
      <c r="F67" s="40"/>
      <c r="G67" s="40"/>
      <c r="H67" s="40"/>
    </row>
    <row r="68" spans="1:8" x14ac:dyDescent="0.3">
      <c r="C68" s="37" t="s">
        <v>58</v>
      </c>
      <c r="D68" s="37"/>
      <c r="E68" s="40">
        <f t="shared" ref="E68:G68" si="23">SUM(E65:E67)</f>
        <v>0</v>
      </c>
      <c r="F68" s="40">
        <f t="shared" si="23"/>
        <v>0</v>
      </c>
      <c r="G68" s="40">
        <f t="shared" si="23"/>
        <v>2224.360270511183</v>
      </c>
      <c r="H68" s="40">
        <f t="shared" ref="H68" si="24">SUM(H65:H67)</f>
        <v>6866.1278380656295</v>
      </c>
    </row>
    <row r="69" spans="1:8" x14ac:dyDescent="0.3">
      <c r="C69" s="33"/>
      <c r="D69" s="33"/>
      <c r="E69" s="44"/>
      <c r="F69" s="44"/>
      <c r="G69" s="44"/>
      <c r="H69" s="44"/>
    </row>
    <row r="70" spans="1:8" x14ac:dyDescent="0.3">
      <c r="C70" s="43"/>
      <c r="D70" s="43"/>
      <c r="E70" s="36" t="str">
        <f t="shared" ref="E70:H70" si="25">E47</f>
        <v>FY 2026</v>
      </c>
      <c r="F70" s="36" t="str">
        <f t="shared" si="25"/>
        <v>FY 2027</v>
      </c>
      <c r="G70" s="36" t="str">
        <f t="shared" si="25"/>
        <v>FY 2028</v>
      </c>
      <c r="H70" s="36" t="str">
        <f t="shared" si="25"/>
        <v>FY 2029</v>
      </c>
    </row>
    <row r="71" spans="1:8" x14ac:dyDescent="0.3">
      <c r="C71" s="37" t="s">
        <v>59</v>
      </c>
      <c r="D71" s="37"/>
      <c r="E71" s="45"/>
      <c r="F71" s="45"/>
      <c r="G71" s="45"/>
      <c r="H71" s="45"/>
    </row>
    <row r="72" spans="1:8" x14ac:dyDescent="0.3">
      <c r="C72" s="43" t="s">
        <v>60</v>
      </c>
      <c r="D72" s="43"/>
      <c r="E72" s="69">
        <v>0</v>
      </c>
      <c r="F72" s="69">
        <v>0</v>
      </c>
      <c r="G72" s="69">
        <v>0</v>
      </c>
      <c r="H72" s="69">
        <v>0</v>
      </c>
    </row>
    <row r="73" spans="1:8" x14ac:dyDescent="0.3">
      <c r="C73" s="43" t="s">
        <v>53</v>
      </c>
      <c r="D73" s="43"/>
      <c r="E73" s="70"/>
      <c r="F73" s="70"/>
      <c r="G73" s="70"/>
      <c r="H73" s="70"/>
    </row>
    <row r="74" spans="1:8" x14ac:dyDescent="0.3">
      <c r="C74" s="43" t="s">
        <v>53</v>
      </c>
      <c r="D74" s="43"/>
      <c r="E74" s="70"/>
      <c r="F74" s="70"/>
      <c r="G74" s="70"/>
      <c r="H74" s="70"/>
    </row>
    <row r="75" spans="1:8" x14ac:dyDescent="0.3">
      <c r="C75" s="46" t="s">
        <v>61</v>
      </c>
      <c r="D75" s="46"/>
      <c r="E75" s="71">
        <f t="shared" ref="E75:H75" si="26">SUM(E72:E74)</f>
        <v>0</v>
      </c>
      <c r="F75" s="71">
        <f t="shared" si="26"/>
        <v>0</v>
      </c>
      <c r="G75" s="71">
        <f t="shared" si="26"/>
        <v>0</v>
      </c>
      <c r="H75" s="71">
        <f t="shared" si="26"/>
        <v>0</v>
      </c>
    </row>
    <row r="76" spans="1:8" x14ac:dyDescent="0.3">
      <c r="C76" s="33"/>
      <c r="D76" s="33"/>
      <c r="E76" s="44"/>
      <c r="F76" s="44"/>
      <c r="G76" s="44"/>
      <c r="H76" s="44"/>
    </row>
    <row r="77" spans="1:8" x14ac:dyDescent="0.3">
      <c r="A77" s="47" t="s">
        <v>62</v>
      </c>
      <c r="B77" s="48"/>
      <c r="C77" s="48"/>
      <c r="D77" s="48"/>
      <c r="E77" s="49"/>
      <c r="F77" s="49"/>
      <c r="G77" s="50"/>
      <c r="H77" s="50"/>
    </row>
    <row r="78" spans="1:8" x14ac:dyDescent="0.3">
      <c r="A78" s="51" t="s">
        <v>53</v>
      </c>
      <c r="B78" s="52" t="s">
        <v>63</v>
      </c>
      <c r="C78" s="52" t="s">
        <v>64</v>
      </c>
      <c r="D78" s="52"/>
      <c r="E78" s="53" t="str">
        <f t="shared" ref="E78:H78" si="27">E47</f>
        <v>FY 2026</v>
      </c>
      <c r="F78" s="53" t="str">
        <f t="shared" si="27"/>
        <v>FY 2027</v>
      </c>
      <c r="G78" s="53" t="str">
        <f t="shared" si="27"/>
        <v>FY 2028</v>
      </c>
      <c r="H78" s="53" t="str">
        <f t="shared" si="27"/>
        <v>FY 2029</v>
      </c>
    </row>
    <row r="79" spans="1:8" x14ac:dyDescent="0.3">
      <c r="A79" s="54" t="s">
        <v>65</v>
      </c>
      <c r="B79" s="55" t="s">
        <v>85</v>
      </c>
      <c r="C79" s="56" t="s">
        <v>86</v>
      </c>
      <c r="D79" s="56"/>
      <c r="E79" s="40">
        <v>0</v>
      </c>
      <c r="F79" s="40">
        <v>0</v>
      </c>
      <c r="G79" s="40">
        <v>0</v>
      </c>
      <c r="H79" s="40"/>
    </row>
    <row r="80" spans="1:8" x14ac:dyDescent="0.3">
      <c r="A80" s="54"/>
      <c r="B80" s="87">
        <v>33</v>
      </c>
      <c r="C80" s="88" t="s">
        <v>87</v>
      </c>
      <c r="D80" s="88"/>
      <c r="E80" s="89">
        <f>+'Managed Care'!G9</f>
        <v>0</v>
      </c>
      <c r="F80" s="89">
        <f>+'Managed Care'!H9</f>
        <v>0</v>
      </c>
      <c r="G80" s="89">
        <f>+'Managed Care'!I9</f>
        <v>315.36027051118293</v>
      </c>
      <c r="H80" s="89">
        <f>+'Managed Care'!J9</f>
        <v>1051.1278380656297</v>
      </c>
    </row>
    <row r="81" spans="1:9" x14ac:dyDescent="0.3">
      <c r="A81" s="54"/>
      <c r="B81" s="55">
        <v>33</v>
      </c>
      <c r="C81" s="56" t="s">
        <v>88</v>
      </c>
      <c r="D81" s="56"/>
      <c r="E81" s="40">
        <v>0</v>
      </c>
      <c r="F81" s="40">
        <v>0</v>
      </c>
      <c r="G81" s="40">
        <v>0</v>
      </c>
      <c r="H81" s="40">
        <v>0</v>
      </c>
    </row>
    <row r="82" spans="1:9" x14ac:dyDescent="0.3">
      <c r="A82" s="54"/>
      <c r="B82" s="55" t="s">
        <v>85</v>
      </c>
      <c r="C82" s="56" t="s">
        <v>89</v>
      </c>
      <c r="D82" s="56"/>
      <c r="E82" s="40">
        <v>0</v>
      </c>
      <c r="F82" s="40">
        <v>0</v>
      </c>
      <c r="G82" s="40">
        <v>0</v>
      </c>
      <c r="H82" s="40">
        <v>0</v>
      </c>
    </row>
    <row r="83" spans="1:9" x14ac:dyDescent="0.3">
      <c r="A83" s="54"/>
      <c r="B83" s="55">
        <v>11</v>
      </c>
      <c r="C83" s="56" t="s">
        <v>90</v>
      </c>
      <c r="D83" s="56"/>
      <c r="E83" s="40">
        <v>0</v>
      </c>
      <c r="F83" s="40">
        <v>0</v>
      </c>
      <c r="G83" s="40">
        <v>0</v>
      </c>
      <c r="H83" s="40">
        <v>0</v>
      </c>
    </row>
    <row r="84" spans="1:9" x14ac:dyDescent="0.3">
      <c r="B84" s="55" t="s">
        <v>66</v>
      </c>
      <c r="C84" s="56" t="s">
        <v>67</v>
      </c>
      <c r="D84" s="56"/>
      <c r="E84" s="40">
        <v>0</v>
      </c>
      <c r="F84" s="40">
        <f t="shared" ref="F84:H84" si="28">F36</f>
        <v>0</v>
      </c>
      <c r="G84" s="40">
        <f t="shared" si="28"/>
        <v>1909</v>
      </c>
      <c r="H84" s="40">
        <f t="shared" si="28"/>
        <v>5815</v>
      </c>
    </row>
    <row r="85" spans="1:9" x14ac:dyDescent="0.3">
      <c r="A85" s="54"/>
      <c r="B85" s="55">
        <v>14</v>
      </c>
      <c r="C85" s="56" t="str">
        <f>"CCA Admin NFRP "&amp;G89&amp;" FTE"</f>
        <v>CCA Admin NFRP 0 FTE</v>
      </c>
      <c r="D85" s="56"/>
      <c r="E85" s="40">
        <f t="shared" ref="E85:H85" si="29">E38</f>
        <v>0</v>
      </c>
      <c r="F85" s="40">
        <f t="shared" si="29"/>
        <v>0</v>
      </c>
      <c r="G85" s="40">
        <f t="shared" si="29"/>
        <v>0</v>
      </c>
      <c r="H85" s="40">
        <f t="shared" si="29"/>
        <v>0</v>
      </c>
    </row>
    <row r="86" spans="1:9" x14ac:dyDescent="0.3">
      <c r="A86" s="54"/>
      <c r="B86" s="55">
        <v>11</v>
      </c>
      <c r="C86" s="56" t="s">
        <v>68</v>
      </c>
      <c r="D86" s="56"/>
      <c r="E86" s="40">
        <v>0</v>
      </c>
      <c r="F86" s="40">
        <v>0</v>
      </c>
      <c r="G86" s="40">
        <v>0</v>
      </c>
      <c r="H86" s="40">
        <v>0</v>
      </c>
    </row>
    <row r="87" spans="1:9" x14ac:dyDescent="0.3">
      <c r="A87" s="54"/>
      <c r="B87" s="55" t="s">
        <v>69</v>
      </c>
      <c r="C87" s="56" t="s">
        <v>70</v>
      </c>
      <c r="D87" s="56"/>
      <c r="E87" s="40">
        <v>0</v>
      </c>
      <c r="F87" s="40">
        <v>0</v>
      </c>
      <c r="G87" s="40">
        <v>0</v>
      </c>
      <c r="H87" s="40">
        <v>0</v>
      </c>
    </row>
    <row r="88" spans="1:9" x14ac:dyDescent="0.3">
      <c r="A88" s="54"/>
      <c r="C88" s="57" t="s">
        <v>71</v>
      </c>
      <c r="D88" s="57"/>
      <c r="E88" s="40">
        <f t="shared" ref="E88:H88" si="30">SUM(E79:E87)</f>
        <v>0</v>
      </c>
      <c r="F88" s="40">
        <f t="shared" si="30"/>
        <v>0</v>
      </c>
      <c r="G88" s="40">
        <f t="shared" si="30"/>
        <v>2224.360270511183</v>
      </c>
      <c r="H88" s="40">
        <f t="shared" si="30"/>
        <v>6866.1278380656295</v>
      </c>
      <c r="I88" s="72"/>
    </row>
    <row r="89" spans="1:9" ht="15" thickBot="1" x14ac:dyDescent="0.35">
      <c r="A89" s="58"/>
      <c r="B89" s="59"/>
      <c r="C89" s="60" t="s">
        <v>72</v>
      </c>
      <c r="D89" s="60"/>
      <c r="E89" s="61">
        <f t="shared" ref="E89:H89" si="31">+E75</f>
        <v>0</v>
      </c>
      <c r="F89" s="61">
        <f t="shared" si="31"/>
        <v>0</v>
      </c>
      <c r="G89" s="61">
        <f t="shared" si="31"/>
        <v>0</v>
      </c>
      <c r="H89" s="61">
        <f t="shared" si="31"/>
        <v>0</v>
      </c>
    </row>
    <row r="90" spans="1:9" x14ac:dyDescent="0.3">
      <c r="A90" s="33"/>
      <c r="B90" s="33"/>
      <c r="C90" s="33"/>
      <c r="D90" s="33"/>
      <c r="E90" s="62"/>
      <c r="F90" s="62"/>
      <c r="G90" s="62"/>
      <c r="H90" s="62"/>
    </row>
    <row r="91" spans="1:9" x14ac:dyDescent="0.3">
      <c r="A91" s="33"/>
      <c r="B91" s="33"/>
      <c r="C91" s="33"/>
      <c r="D91" s="33"/>
      <c r="E91" s="72"/>
      <c r="F91" s="72"/>
      <c r="G91" s="72"/>
      <c r="H91" s="72"/>
    </row>
    <row r="92" spans="1:9" x14ac:dyDescent="0.3">
      <c r="C92" s="33"/>
      <c r="D92" s="33"/>
      <c r="E92" s="72"/>
      <c r="F92" s="72"/>
      <c r="G92" s="72"/>
      <c r="H92" s="72"/>
    </row>
  </sheetData>
  <sheetProtection algorithmName="SHA-512" hashValue="xWhA1SRbMDZtaJbRalgoqmNitHAuhOcGnLLEeiwdmoFqt1CPr9WBdUCxePjjjZhfsB4+e5wP5VUipg/d+Df7sw==" saltValue="2eoFkJUyY437Anim7LGC/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A2666-FB37-4BD6-9932-021E931D47BC}">
  <dimension ref="A1:AI122"/>
  <sheetViews>
    <sheetView topLeftCell="A78" zoomScale="130" zoomScaleNormal="130" workbookViewId="0">
      <selection activeCell="A78" sqref="A1:XFD1048576"/>
    </sheetView>
  </sheetViews>
  <sheetFormatPr defaultRowHeight="14.4" x14ac:dyDescent="0.3"/>
  <cols>
    <col min="1" max="1" width="91.77734375" bestFit="1" customWidth="1"/>
    <col min="2" max="2" width="16.21875" bestFit="1" customWidth="1"/>
    <col min="3" max="3" width="16.21875" customWidth="1"/>
    <col min="4" max="4" width="16.21875" bestFit="1" customWidth="1"/>
    <col min="5" max="5" width="15.21875" bestFit="1" customWidth="1"/>
    <col min="6" max="6" width="13.21875" bestFit="1" customWidth="1"/>
    <col min="7" max="7" width="12.21875" bestFit="1" customWidth="1"/>
    <col min="8" max="8" width="13.21875" bestFit="1" customWidth="1"/>
    <col min="9" max="9" width="12.5546875" bestFit="1" customWidth="1"/>
    <col min="10" max="10" width="13.77734375" bestFit="1" customWidth="1"/>
    <col min="11" max="11" width="14.21875" bestFit="1" customWidth="1"/>
    <col min="12" max="12" width="46.21875" bestFit="1" customWidth="1"/>
    <col min="13" max="15" width="13.21875" bestFit="1" customWidth="1"/>
    <col min="16" max="16" width="14.5546875" bestFit="1" customWidth="1"/>
    <col min="26" max="26" width="13" customWidth="1"/>
  </cols>
  <sheetData>
    <row r="1" spans="1:35" x14ac:dyDescent="0.3">
      <c r="A1" s="99"/>
      <c r="B1" t="s">
        <v>161</v>
      </c>
      <c r="C1" t="s">
        <v>164</v>
      </c>
      <c r="D1" t="s">
        <v>166</v>
      </c>
      <c r="E1" t="s">
        <v>165</v>
      </c>
      <c r="F1" t="s">
        <v>167</v>
      </c>
    </row>
    <row r="2" spans="1:35" x14ac:dyDescent="0.3">
      <c r="A2" s="99" t="s">
        <v>162</v>
      </c>
      <c r="B2" s="73">
        <v>46023</v>
      </c>
      <c r="C2" s="1">
        <v>27</v>
      </c>
      <c r="D2" s="1">
        <f>+C2-3.5</f>
        <v>23.5</v>
      </c>
      <c r="E2" s="1">
        <f>+D2-1</f>
        <v>22.5</v>
      </c>
      <c r="F2" s="1">
        <f>+E2-3.5</f>
        <v>19</v>
      </c>
    </row>
    <row r="3" spans="1:35" x14ac:dyDescent="0.3">
      <c r="A3" s="99" t="s">
        <v>163</v>
      </c>
      <c r="B3" s="73">
        <f>+B2+365</f>
        <v>46388</v>
      </c>
      <c r="C3" s="1">
        <f>+C2+1.5</f>
        <v>28.5</v>
      </c>
      <c r="D3" s="1">
        <f>+D2+1.5</f>
        <v>25</v>
      </c>
      <c r="E3" s="1">
        <f t="shared" ref="E3:F3" si="0">+E2+1.5</f>
        <v>24</v>
      </c>
      <c r="F3" s="1">
        <f t="shared" si="0"/>
        <v>20.5</v>
      </c>
    </row>
    <row r="4" spans="1:35" x14ac:dyDescent="0.3">
      <c r="AH4" s="73"/>
      <c r="AI4" s="73"/>
    </row>
    <row r="5" spans="1:35" x14ac:dyDescent="0.3">
      <c r="A5" t="s">
        <v>162</v>
      </c>
      <c r="M5" t="s">
        <v>160</v>
      </c>
      <c r="N5" t="s">
        <v>112</v>
      </c>
      <c r="O5" t="s">
        <v>0</v>
      </c>
      <c r="P5" t="s">
        <v>14</v>
      </c>
      <c r="AH5" s="73"/>
      <c r="AI5" s="73"/>
    </row>
    <row r="6" spans="1:35" s="5" customFormat="1" x14ac:dyDescent="0.3">
      <c r="B6" s="100" t="s">
        <v>160</v>
      </c>
      <c r="C6" s="100" t="s">
        <v>112</v>
      </c>
      <c r="D6" s="100" t="str">
        <f>+[1]Analysis!I1</f>
        <v>CNA</v>
      </c>
      <c r="E6" s="100" t="str">
        <f>+[1]Analysis!Q1</f>
        <v>Cook</v>
      </c>
      <c r="F6" s="100" t="str">
        <f>+[1]Analysis!U1</f>
        <v>Dietary Aide</v>
      </c>
      <c r="G6" s="100" t="str">
        <f>+[1]Analysis!Y1</f>
        <v>Hkpg</v>
      </c>
      <c r="H6" s="5" t="s">
        <v>168</v>
      </c>
      <c r="I6" s="100" t="str">
        <f>+[1]Analysis!AC1</f>
        <v>Act Aide</v>
      </c>
      <c r="J6" s="5" t="str">
        <f>+[1]Analysis!AF1</f>
        <v>Total</v>
      </c>
      <c r="K6"/>
      <c r="L6" t="s">
        <v>113</v>
      </c>
      <c r="M6" s="6">
        <f>+[1]Data!AQ350</f>
        <v>21373814</v>
      </c>
      <c r="N6" s="6">
        <f>+[1]Data!AS350</f>
        <v>1272443</v>
      </c>
      <c r="O6" s="6">
        <f>+[1]Data!AR350</f>
        <v>49202758</v>
      </c>
      <c r="P6" s="86">
        <f>SUM(M6:O6)</f>
        <v>71849015</v>
      </c>
      <c r="U6" s="120"/>
      <c r="V6" s="120"/>
      <c r="W6" s="91" t="s">
        <v>120</v>
      </c>
      <c r="X6" s="92" t="s">
        <v>95</v>
      </c>
      <c r="AH6" s="73"/>
      <c r="AI6" s="73"/>
    </row>
    <row r="7" spans="1:35" x14ac:dyDescent="0.3">
      <c r="A7" t="s">
        <v>134</v>
      </c>
      <c r="B7" s="101">
        <f>+C2</f>
        <v>27</v>
      </c>
      <c r="C7" s="101">
        <f t="shared" ref="C7:D7" si="1">+D2</f>
        <v>23.5</v>
      </c>
      <c r="D7" s="101">
        <f t="shared" si="1"/>
        <v>22.5</v>
      </c>
      <c r="E7" s="101">
        <f>+$F$2</f>
        <v>19</v>
      </c>
      <c r="F7" s="101">
        <f t="shared" ref="F7:I7" si="2">+$F$2</f>
        <v>19</v>
      </c>
      <c r="G7" s="101">
        <f t="shared" si="2"/>
        <v>19</v>
      </c>
      <c r="H7" s="7">
        <f t="shared" si="2"/>
        <v>19</v>
      </c>
      <c r="I7" s="101">
        <f t="shared" si="2"/>
        <v>19</v>
      </c>
      <c r="J7" s="7">
        <f>(B7*B14+D7*D14+C7*C14+E7*E14+F7*F14+G7*G14+H7*H14+I7*I14)/J14</f>
        <v>21.985568358568781</v>
      </c>
      <c r="L7" t="s">
        <v>114</v>
      </c>
      <c r="M7" s="8">
        <f>+O7</f>
        <v>5.6300000000000003E-2</v>
      </c>
      <c r="N7" s="8">
        <f>+O7</f>
        <v>5.6300000000000003E-2</v>
      </c>
      <c r="O7" s="8">
        <v>5.6300000000000003E-2</v>
      </c>
      <c r="P7" s="10">
        <f>+N7</f>
        <v>5.6300000000000003E-2</v>
      </c>
      <c r="U7" s="120" t="s">
        <v>121</v>
      </c>
      <c r="V7" s="92" t="s">
        <v>96</v>
      </c>
      <c r="W7" s="120" t="s">
        <v>122</v>
      </c>
      <c r="X7" s="120"/>
      <c r="Z7" s="78" t="s">
        <v>123</v>
      </c>
      <c r="AA7" s="10">
        <f>1+X9</f>
        <v>1.0406</v>
      </c>
    </row>
    <row r="8" spans="1:35" x14ac:dyDescent="0.3">
      <c r="A8" t="s">
        <v>221</v>
      </c>
      <c r="B8" s="102">
        <f>'[1]LPN Sample'!P101</f>
        <v>28.810054817306135</v>
      </c>
      <c r="C8" s="102">
        <f>'[1]TMA Sample'!P101</f>
        <v>22.182757137490881</v>
      </c>
      <c r="D8" s="102">
        <f>'[1]CNA Sample'!P101</f>
        <v>22.726347925677857</v>
      </c>
      <c r="E8" s="102">
        <f>'[1]Cook Sample'!P101</f>
        <v>21.68981515763388</v>
      </c>
      <c r="F8" s="102">
        <f>'[1]aide sample'!P101</f>
        <v>18.143587163494505</v>
      </c>
      <c r="G8" s="102">
        <f>+'[1]HSKG Sample'!P101</f>
        <v>18.830071421116802</v>
      </c>
      <c r="H8" s="1">
        <f>+G8</f>
        <v>18.830071421116802</v>
      </c>
      <c r="I8" s="102">
        <f>+'[1]Act Sample'!P101</f>
        <v>18.903037265616454</v>
      </c>
      <c r="J8" s="1">
        <f>+[1]Analysis!AF7</f>
        <v>21.691213197780971</v>
      </c>
      <c r="L8" t="s">
        <v>115</v>
      </c>
      <c r="M8" s="6">
        <f>+M6/(1+M7)</f>
        <v>20234605.699138504</v>
      </c>
      <c r="N8" s="6">
        <f>+N6/(1+N7)</f>
        <v>1204622.7397519643</v>
      </c>
      <c r="O8" s="6">
        <f>+O6/(1+O7)</f>
        <v>46580287.797027357</v>
      </c>
      <c r="P8" s="6">
        <f>+P6/(1+P7)</f>
        <v>68019516.235917822</v>
      </c>
      <c r="U8" s="120" t="s">
        <v>124</v>
      </c>
      <c r="V8" s="92" t="s">
        <v>97</v>
      </c>
      <c r="W8" s="120" t="s">
        <v>98</v>
      </c>
      <c r="X8" s="93">
        <v>4.9200000000000001E-2</v>
      </c>
      <c r="Z8" t="s">
        <v>125</v>
      </c>
      <c r="AA8" s="10">
        <f>1+X10</f>
        <v>1.048</v>
      </c>
    </row>
    <row r="9" spans="1:35" x14ac:dyDescent="0.3">
      <c r="A9" t="s">
        <v>222</v>
      </c>
      <c r="B9" s="101">
        <f>+[1]Analysis!E42</f>
        <v>2.1022664795223851</v>
      </c>
      <c r="C9" s="101">
        <f>+[1]Analysis!M8</f>
        <v>1.8634534769889315</v>
      </c>
      <c r="D9" s="101">
        <f>+[1]Analysis!I42</f>
        <v>2.0148120320541976</v>
      </c>
      <c r="E9" s="101">
        <f>+[1]Analysis!Q42</f>
        <v>1.0935144876060117</v>
      </c>
      <c r="F9" s="101">
        <f>+[1]Analysis!U42</f>
        <v>1.9618661198123575</v>
      </c>
      <c r="G9" s="101">
        <f>+[1]Analysis!Y42</f>
        <v>1.6656163310638883</v>
      </c>
      <c r="H9" s="7">
        <f>+G9</f>
        <v>1.6656163310638883</v>
      </c>
      <c r="I9" s="101">
        <f>+[1]Analysis!AC42</f>
        <v>2.3706749258199977</v>
      </c>
      <c r="J9" s="1">
        <f>IF(J12=0,(B9*B16+D9*D16+C9*C16+E9*E16+F9*F16+G9*G16+H9*H16+I9*I16)/J16,J12+J11)</f>
        <v>1.9998067342779038</v>
      </c>
      <c r="L9" t="s">
        <v>169</v>
      </c>
      <c r="M9" s="8">
        <f>+O9</f>
        <v>0.10249999999999999</v>
      </c>
      <c r="N9" s="8">
        <f>+O9</f>
        <v>0.10249999999999999</v>
      </c>
      <c r="O9" s="8">
        <v>0.10249999999999999</v>
      </c>
      <c r="P9" s="10">
        <f t="shared" ref="P9:P13" si="3">+N9</f>
        <v>0.10249999999999999</v>
      </c>
      <c r="U9" s="120" t="s">
        <v>126</v>
      </c>
      <c r="V9" s="92" t="s">
        <v>99</v>
      </c>
      <c r="W9" s="120" t="s">
        <v>100</v>
      </c>
      <c r="X9" s="93">
        <v>4.0599999999999997E-2</v>
      </c>
      <c r="Z9" t="s">
        <v>127</v>
      </c>
      <c r="AA9" s="10">
        <f t="shared" ref="AA9:AA10" si="4">1+X11</f>
        <v>1.0478000000000001</v>
      </c>
    </row>
    <row r="10" spans="1:35" x14ac:dyDescent="0.3">
      <c r="A10" t="s">
        <v>135</v>
      </c>
      <c r="B10" s="103">
        <f>$X$11</f>
        <v>4.7800000000000002E-2</v>
      </c>
      <c r="C10" s="103">
        <f t="shared" ref="C10:J10" si="5">$X$11</f>
        <v>4.7800000000000002E-2</v>
      </c>
      <c r="D10" s="103">
        <f t="shared" si="5"/>
        <v>4.7800000000000002E-2</v>
      </c>
      <c r="E10" s="103">
        <f t="shared" si="5"/>
        <v>4.7800000000000002E-2</v>
      </c>
      <c r="F10" s="103">
        <f t="shared" si="5"/>
        <v>4.7800000000000002E-2</v>
      </c>
      <c r="G10" s="103">
        <f t="shared" si="5"/>
        <v>4.7800000000000002E-2</v>
      </c>
      <c r="H10" s="8">
        <f t="shared" si="5"/>
        <v>4.7800000000000002E-2</v>
      </c>
      <c r="I10" s="103">
        <f t="shared" si="5"/>
        <v>4.7800000000000002E-2</v>
      </c>
      <c r="J10" s="8">
        <f t="shared" si="5"/>
        <v>4.7800000000000002E-2</v>
      </c>
      <c r="L10" t="s">
        <v>170</v>
      </c>
      <c r="M10" s="8">
        <f t="shared" ref="M10:M13" si="6">+O10</f>
        <v>5.1499999999999997E-2</v>
      </c>
      <c r="N10" s="98">
        <f>+O10</f>
        <v>5.1499999999999997E-2</v>
      </c>
      <c r="O10" s="98">
        <f>+X19</f>
        <v>5.1499999999999997E-2</v>
      </c>
      <c r="P10" s="10">
        <f t="shared" si="3"/>
        <v>5.1499999999999997E-2</v>
      </c>
      <c r="U10" s="120" t="s">
        <v>128</v>
      </c>
      <c r="V10" s="92" t="s">
        <v>101</v>
      </c>
      <c r="W10" s="120" t="s">
        <v>102</v>
      </c>
      <c r="X10" s="93">
        <v>4.8000000000000001E-2</v>
      </c>
      <c r="Z10" t="s">
        <v>129</v>
      </c>
      <c r="AA10" s="10">
        <f t="shared" si="4"/>
        <v>1.0478000000000001</v>
      </c>
    </row>
    <row r="11" spans="1:35" x14ac:dyDescent="0.3">
      <c r="A11" t="s">
        <v>133</v>
      </c>
      <c r="B11" s="101">
        <f>+B10*B8</f>
        <v>1.3771206202672333</v>
      </c>
      <c r="C11" s="101">
        <f>+C10*C8</f>
        <v>1.0603357911720641</v>
      </c>
      <c r="D11" s="101">
        <f>+D10*D8</f>
        <v>1.0863194308474016</v>
      </c>
      <c r="E11" s="101">
        <f t="shared" ref="E11:J11" si="7">+E10*E8</f>
        <v>1.0367731645348994</v>
      </c>
      <c r="F11" s="101">
        <f t="shared" si="7"/>
        <v>0.86726346641503738</v>
      </c>
      <c r="G11" s="101">
        <f t="shared" si="7"/>
        <v>0.90007741392938323</v>
      </c>
      <c r="H11" s="7">
        <f t="shared" si="7"/>
        <v>0.90007741392938323</v>
      </c>
      <c r="I11" s="101">
        <f t="shared" si="7"/>
        <v>0.90356518129646657</v>
      </c>
      <c r="J11" s="7">
        <f t="shared" si="7"/>
        <v>1.0368399908539305</v>
      </c>
      <c r="L11" t="s">
        <v>171</v>
      </c>
      <c r="M11" s="8">
        <f t="shared" si="6"/>
        <v>7.1999999999999995E-2</v>
      </c>
      <c r="N11" s="98">
        <f>+O11</f>
        <v>7.1999999999999995E-2</v>
      </c>
      <c r="O11" s="98">
        <f>+X20</f>
        <v>7.1999999999999995E-2</v>
      </c>
      <c r="P11" s="10">
        <f t="shared" si="3"/>
        <v>7.1999999999999995E-2</v>
      </c>
      <c r="U11" s="120" t="s">
        <v>130</v>
      </c>
      <c r="V11" s="92" t="s">
        <v>103</v>
      </c>
      <c r="W11" s="120" t="s">
        <v>104</v>
      </c>
      <c r="X11" s="93">
        <v>4.7800000000000002E-2</v>
      </c>
      <c r="Z11" t="s">
        <v>131</v>
      </c>
      <c r="AA11" s="10">
        <f>+AA10</f>
        <v>1.0478000000000001</v>
      </c>
    </row>
    <row r="12" spans="1:35" x14ac:dyDescent="0.3">
      <c r="A12" t="s">
        <v>136</v>
      </c>
      <c r="B12" s="102">
        <f>MAX(B9-B11,0)</f>
        <v>0.72514585925515185</v>
      </c>
      <c r="C12" s="102">
        <f>MAX(C9-C11,0)</f>
        <v>0.80311768581686738</v>
      </c>
      <c r="D12" s="102">
        <f>MAX(D9-D11,0)</f>
        <v>0.928492601206796</v>
      </c>
      <c r="E12" s="102">
        <f t="shared" ref="E12:I12" si="8">MAX(E9-E11,0)</f>
        <v>5.6741323071112237E-2</v>
      </c>
      <c r="F12" s="102">
        <f t="shared" si="8"/>
        <v>1.0946026533973201</v>
      </c>
      <c r="G12" s="102">
        <f t="shared" si="8"/>
        <v>0.76553891713450506</v>
      </c>
      <c r="H12" s="1">
        <f t="shared" si="8"/>
        <v>0.76553891713450506</v>
      </c>
      <c r="I12" s="102">
        <f t="shared" si="8"/>
        <v>1.467109744523531</v>
      </c>
      <c r="J12" s="1">
        <f>+[1]Analysis!AF11</f>
        <v>0.96296674342397326</v>
      </c>
      <c r="L12" t="s">
        <v>148</v>
      </c>
      <c r="M12" s="8">
        <f t="shared" si="6"/>
        <v>4.8000000000000001E-2</v>
      </c>
      <c r="N12" s="8">
        <f>+O12</f>
        <v>4.8000000000000001E-2</v>
      </c>
      <c r="O12" s="8">
        <f>+X21</f>
        <v>4.8000000000000001E-2</v>
      </c>
      <c r="P12" s="10">
        <f t="shared" si="3"/>
        <v>4.8000000000000001E-2</v>
      </c>
      <c r="U12" s="120"/>
      <c r="V12" s="92" t="s">
        <v>105</v>
      </c>
      <c r="W12" s="120"/>
      <c r="X12" s="93">
        <v>4.7800000000000002E-2</v>
      </c>
      <c r="Z12" t="s">
        <v>132</v>
      </c>
      <c r="AA12" s="10">
        <f>+AA11</f>
        <v>1.0478000000000001</v>
      </c>
    </row>
    <row r="13" spans="1:35" x14ac:dyDescent="0.3">
      <c r="A13" t="s">
        <v>145</v>
      </c>
      <c r="B13" s="103">
        <f>IFERROR(B12/B8,0)</f>
        <v>2.5169888216233394E-2</v>
      </c>
      <c r="C13" s="103">
        <f>IFERROR(C12/C8,0)</f>
        <v>3.6204592640989845E-2</v>
      </c>
      <c r="D13" s="103">
        <f>IFERROR(D12/D8,0)</f>
        <v>4.0855336908651237E-2</v>
      </c>
      <c r="E13" s="103">
        <f>IFERROR(E12/E8,0)</f>
        <v>2.6160353446415489E-3</v>
      </c>
      <c r="F13" s="103">
        <f t="shared" ref="F13:J13" si="9">IFERROR(F12/F8,0)</f>
        <v>6.0330002194918582E-2</v>
      </c>
      <c r="G13" s="103">
        <f t="shared" si="9"/>
        <v>4.0655125517792719E-2</v>
      </c>
      <c r="H13" s="8">
        <f t="shared" si="9"/>
        <v>4.0655125517792719E-2</v>
      </c>
      <c r="I13" s="103">
        <f t="shared" si="9"/>
        <v>7.761238175158866E-2</v>
      </c>
      <c r="J13" s="8">
        <f t="shared" si="9"/>
        <v>4.4394323851027637E-2</v>
      </c>
      <c r="L13" t="s">
        <v>149</v>
      </c>
      <c r="M13" s="8">
        <f t="shared" si="6"/>
        <v>4.7800000000000002E-2</v>
      </c>
      <c r="N13" s="10">
        <f>+O13</f>
        <v>4.7800000000000002E-2</v>
      </c>
      <c r="O13" s="10">
        <f>+X23</f>
        <v>4.7800000000000002E-2</v>
      </c>
      <c r="P13" s="10">
        <f t="shared" si="3"/>
        <v>4.7800000000000002E-2</v>
      </c>
    </row>
    <row r="14" spans="1:35" x14ac:dyDescent="0.3">
      <c r="A14" t="s">
        <v>137</v>
      </c>
      <c r="B14" s="104">
        <f>+[1]Analysis!E49</f>
        <v>4837591</v>
      </c>
      <c r="C14" s="104">
        <f>+[1]Analysis!M49</f>
        <v>2114299</v>
      </c>
      <c r="D14" s="104">
        <f>+[1]Analysis!I49</f>
        <v>15157400</v>
      </c>
      <c r="E14" s="104">
        <f>IF(E7&lt;&gt;0,[1]Analysis!Q49,0)</f>
        <v>1760996.5108164689</v>
      </c>
      <c r="F14" s="104">
        <f>IF(F7&lt;&gt;0,[1]Analysis!U49,0)</f>
        <v>4547773.4891835311</v>
      </c>
      <c r="G14" s="104">
        <f>IF(G7&lt;&gt;0,[1]Analysis!Y49,0)</f>
        <v>2564562</v>
      </c>
      <c r="H14" s="2">
        <f>IF(H7&lt;&gt;0,[1]SASS!J340,0)</f>
        <v>838441</v>
      </c>
      <c r="I14" s="104">
        <f>IF(I7&lt;&gt;0,[1]Analysis!AC49,0)</f>
        <v>2097428</v>
      </c>
      <c r="J14" s="2">
        <f>SUM(B14:I14)</f>
        <v>33918491</v>
      </c>
      <c r="L14" t="s">
        <v>116</v>
      </c>
      <c r="M14" s="8">
        <f>((((1*(1+M9))*(1+M10))*(1+M11))*(1+M12))*(1+M13)</f>
        <v>1.3646533236598084</v>
      </c>
      <c r="N14" s="8">
        <f t="shared" ref="N14:P14" si="10">((((1*(1+N9))*(1+N10))*(1+N11))*(1+N12))*(1+N13)</f>
        <v>1.3646533236598084</v>
      </c>
      <c r="O14" s="8">
        <f t="shared" si="10"/>
        <v>1.3646533236598084</v>
      </c>
      <c r="P14" s="8">
        <f t="shared" si="10"/>
        <v>1.3646533236598084</v>
      </c>
    </row>
    <row r="15" spans="1:35" x14ac:dyDescent="0.3">
      <c r="A15" t="s">
        <v>223</v>
      </c>
      <c r="B15" s="105">
        <f>+[1]Analysis!E48</f>
        <v>0.10270270270270271</v>
      </c>
      <c r="C15" s="105">
        <f>+[1]Analysis!M48</f>
        <v>0.42199488491048592</v>
      </c>
      <c r="D15" s="105">
        <f>+[1]Analysis!I48</f>
        <v>0.52079866888519133</v>
      </c>
      <c r="E15" s="105">
        <f>+[1]Analysis!Q48</f>
        <v>0.17</v>
      </c>
      <c r="F15" s="105">
        <f>+[1]Analysis!U48</f>
        <v>0.98451113262342693</v>
      </c>
      <c r="G15" s="105">
        <f>+[1]Analysis!Y48</f>
        <v>0.59219858156028371</v>
      </c>
      <c r="H15" s="84">
        <f>+G15</f>
        <v>0.59219858156028371</v>
      </c>
      <c r="I15" s="105">
        <f>+[1]Analysis!AC48</f>
        <v>0.57943925233644855</v>
      </c>
      <c r="J15" s="84">
        <f>+J16/J14</f>
        <v>0.50976028015475749</v>
      </c>
      <c r="L15" t="s">
        <v>150</v>
      </c>
      <c r="M15" s="6">
        <f>+M8*M14</f>
        <v>27613221.920275059</v>
      </c>
      <c r="N15" s="6">
        <f>+N8*N14</f>
        <v>1643892.4255587026</v>
      </c>
      <c r="O15" s="6">
        <f>+O8*O14</f>
        <v>63565944.559243798</v>
      </c>
      <c r="P15" s="6">
        <f>+P8*P14</f>
        <v>92823058.905077562</v>
      </c>
    </row>
    <row r="16" spans="1:35" x14ac:dyDescent="0.3">
      <c r="A16" t="s">
        <v>138</v>
      </c>
      <c r="B16" s="104">
        <f>B15*B14</f>
        <v>496833.67027027032</v>
      </c>
      <c r="C16" s="104">
        <f>C15*C14</f>
        <v>892223.36317135545</v>
      </c>
      <c r="D16" s="104">
        <f t="shared" ref="D16:I16" si="11">D15*D14</f>
        <v>7893953.7437603986</v>
      </c>
      <c r="E16" s="104">
        <f t="shared" si="11"/>
        <v>299369.40683879971</v>
      </c>
      <c r="F16" s="104">
        <f t="shared" si="11"/>
        <v>4477333.6287508728</v>
      </c>
      <c r="G16" s="104">
        <f t="shared" si="11"/>
        <v>1518729.9787234042</v>
      </c>
      <c r="H16" s="106">
        <f t="shared" si="11"/>
        <v>496523.57092198584</v>
      </c>
      <c r="I16" s="104">
        <f t="shared" si="11"/>
        <v>1215332.1121495327</v>
      </c>
      <c r="J16" s="2">
        <f>SUM(B16:I16)</f>
        <v>17290299.474586621</v>
      </c>
      <c r="L16" t="s">
        <v>159</v>
      </c>
      <c r="M16" s="8">
        <f>+O16</f>
        <v>2.9100000000000001E-2</v>
      </c>
      <c r="N16" s="8">
        <f>+O16</f>
        <v>2.9100000000000001E-2</v>
      </c>
      <c r="O16" s="8">
        <f>+Y42</f>
        <v>2.9100000000000001E-2</v>
      </c>
      <c r="P16" s="8">
        <f>+N16</f>
        <v>2.9100000000000001E-2</v>
      </c>
      <c r="U16" s="76"/>
    </row>
    <row r="17" spans="1:26" x14ac:dyDescent="0.3">
      <c r="A17" t="s">
        <v>224</v>
      </c>
      <c r="B17" s="107">
        <f>+[1]Analysis!E52</f>
        <v>1.1011261824218856</v>
      </c>
      <c r="C17" s="107">
        <f>+[1]Analysis!M52</f>
        <v>0.64779126984192892</v>
      </c>
      <c r="D17" s="107">
        <f>+[1]Analysis!I52</f>
        <v>1.1930379851693549</v>
      </c>
      <c r="E17" s="107">
        <f>+[1]Analysis!Q52</f>
        <v>1.0743589575037351</v>
      </c>
      <c r="F17" s="107">
        <f>+[1]Analysis!U52</f>
        <v>1.1319978934984971</v>
      </c>
      <c r="G17" s="107">
        <f>+[1]Analysis!Y52</f>
        <v>1.1188444786517682</v>
      </c>
      <c r="H17" s="3">
        <f>+G17</f>
        <v>1.1188444786517682</v>
      </c>
      <c r="I17" s="107">
        <f>+[1]Analysis!AC52</f>
        <v>1.2632354078372341</v>
      </c>
      <c r="J17" s="3">
        <f>+[1]Analysis!AF52</f>
        <v>1.1501381283207719</v>
      </c>
      <c r="L17" t="s">
        <v>146</v>
      </c>
      <c r="M17" s="6">
        <f>(M15*(1+M16))*(1+M12)</f>
        <v>29780771.478706505</v>
      </c>
      <c r="N17" s="6">
        <f>(N15*(1+N16))*(1+N12)</f>
        <v>1772932.7205092988</v>
      </c>
      <c r="O17" s="6">
        <f>(O15*(1+O16))*(1+O12)</f>
        <v>68555667.796121851</v>
      </c>
      <c r="P17" s="6">
        <f>(P15*(1+P16))*(1+P12)</f>
        <v>100109371.99533765</v>
      </c>
      <c r="U17" s="120"/>
      <c r="V17" s="182" t="s">
        <v>144</v>
      </c>
      <c r="W17" s="182"/>
      <c r="X17" s="92" t="s">
        <v>95</v>
      </c>
    </row>
    <row r="18" spans="1:26" x14ac:dyDescent="0.3">
      <c r="A18" t="s">
        <v>225</v>
      </c>
      <c r="B18" s="103">
        <f>+[1]Data!X356</f>
        <v>0.11325497383971654</v>
      </c>
      <c r="C18" s="103">
        <f>+D18</f>
        <v>0.11325497383971654</v>
      </c>
      <c r="D18" s="103">
        <f>+[1]Data!X356</f>
        <v>0.11325497383971654</v>
      </c>
      <c r="E18" s="103">
        <f>+C18</f>
        <v>0.11325497383971654</v>
      </c>
      <c r="F18" s="103">
        <f t="shared" ref="F18:J18" si="12">+E18</f>
        <v>0.11325497383971654</v>
      </c>
      <c r="G18" s="103">
        <f t="shared" si="12"/>
        <v>0.11325497383971654</v>
      </c>
      <c r="H18" s="8">
        <f t="shared" si="12"/>
        <v>0.11325497383971654</v>
      </c>
      <c r="I18" s="103">
        <f t="shared" si="12"/>
        <v>0.11325497383971654</v>
      </c>
      <c r="J18" s="8">
        <f t="shared" si="12"/>
        <v>0.11325497383971654</v>
      </c>
      <c r="L18" t="s">
        <v>147</v>
      </c>
      <c r="M18" s="8">
        <f>+B13</f>
        <v>2.5169888216233394E-2</v>
      </c>
      <c r="N18" s="8">
        <f>+C13</f>
        <v>3.6204592640989845E-2</v>
      </c>
      <c r="O18" s="8">
        <f>+D13</f>
        <v>4.0855336908651237E-2</v>
      </c>
      <c r="P18" s="8">
        <f>+P19/P17</f>
        <v>3.6106828249952747E-2</v>
      </c>
      <c r="U18" s="120" t="s">
        <v>121</v>
      </c>
      <c r="V18" s="92" t="s">
        <v>96</v>
      </c>
      <c r="W18" s="120"/>
      <c r="X18" s="91">
        <v>278.06</v>
      </c>
    </row>
    <row r="19" spans="1:26" x14ac:dyDescent="0.3">
      <c r="A19" t="s">
        <v>139</v>
      </c>
      <c r="B19" s="108">
        <f t="shared" ref="B19:I19" si="13">+B12*B16*B17*(1+B18)</f>
        <v>441639.71920875233</v>
      </c>
      <c r="C19" s="108">
        <f t="shared" si="13"/>
        <v>516752.4162375154</v>
      </c>
      <c r="D19" s="108">
        <f t="shared" si="13"/>
        <v>9734685.8340205289</v>
      </c>
      <c r="E19" s="108">
        <f t="shared" si="13"/>
        <v>20316.595241051247</v>
      </c>
      <c r="F19" s="108">
        <f t="shared" si="13"/>
        <v>6176126.9807702638</v>
      </c>
      <c r="G19" s="108">
        <f t="shared" si="13"/>
        <v>1448145.5244875629</v>
      </c>
      <c r="H19" s="6">
        <f t="shared" si="13"/>
        <v>473447.15460062056</v>
      </c>
      <c r="I19" s="108">
        <f t="shared" si="13"/>
        <v>2507474.4085698784</v>
      </c>
      <c r="J19" s="6">
        <f>SUM(B19:I19)</f>
        <v>21318588.633136176</v>
      </c>
      <c r="L19" t="s">
        <v>143</v>
      </c>
      <c r="M19" s="6">
        <f>+M17*M18</f>
        <v>749578.68911223439</v>
      </c>
      <c r="N19" s="6">
        <f>+N17*N18</f>
        <v>64188.306925921068</v>
      </c>
      <c r="O19" s="6">
        <f>+O17*O18</f>
        <v>2800864.9048081301</v>
      </c>
      <c r="P19" s="6">
        <f>SUM(M19:O19)</f>
        <v>3614631.9008462857</v>
      </c>
      <c r="U19" s="120" t="s">
        <v>124</v>
      </c>
      <c r="V19" s="92" t="s">
        <v>97</v>
      </c>
      <c r="W19" s="120"/>
      <c r="X19" s="93">
        <v>5.1499999999999997E-2</v>
      </c>
    </row>
    <row r="20" spans="1:26" x14ac:dyDescent="0.3">
      <c r="A20" s="123" t="s">
        <v>205</v>
      </c>
      <c r="B20" s="123"/>
      <c r="C20" s="108"/>
      <c r="D20" s="108"/>
      <c r="E20" s="108"/>
      <c r="F20" s="108"/>
      <c r="G20" s="108"/>
      <c r="H20" s="108"/>
      <c r="I20" s="108"/>
      <c r="J20" s="108"/>
      <c r="M20" s="6"/>
      <c r="N20" s="6"/>
      <c r="O20" s="6"/>
      <c r="P20" s="6"/>
      <c r="U20" s="125" t="s">
        <v>126</v>
      </c>
      <c r="V20" s="92" t="s">
        <v>99</v>
      </c>
      <c r="W20" s="125"/>
      <c r="X20" s="93">
        <v>7.1999999999999995E-2</v>
      </c>
    </row>
    <row r="21" spans="1:26" x14ac:dyDescent="0.3">
      <c r="A21" s="85" t="s">
        <v>140</v>
      </c>
      <c r="B21" s="6"/>
      <c r="D21" s="6"/>
      <c r="E21" s="6">
        <f>((IF(AND(E7=0,F7=0),0,[1]Data!AN350)*(1+X20))*(1+X21))*(1+X22)</f>
        <v>19970937.597128019</v>
      </c>
      <c r="G21" s="8"/>
      <c r="H21" s="8"/>
      <c r="I21" s="6"/>
      <c r="J21" s="6"/>
      <c r="U21" s="120" t="s">
        <v>128</v>
      </c>
      <c r="V21" s="92" t="s">
        <v>101</v>
      </c>
      <c r="W21" s="120"/>
      <c r="X21" s="93">
        <v>4.8000000000000001E-2</v>
      </c>
    </row>
    <row r="22" spans="1:26" x14ac:dyDescent="0.3">
      <c r="A22" t="s">
        <v>141</v>
      </c>
      <c r="B22" s="1"/>
      <c r="C22" s="6"/>
      <c r="D22" s="1"/>
      <c r="E22" s="6">
        <f>IFERROR([1]Analysis!Q49/([1]Analysis!Q49+[1]Analysis!U49)*$E21,0)</f>
        <v>5574581.3250880726</v>
      </c>
      <c r="F22" s="6">
        <f>IFERROR([1]Analysis!U49/([1]Analysis!Q49+[1]Analysis!U49)*$E21,0)</f>
        <v>14396356.272039948</v>
      </c>
      <c r="G22" s="6">
        <f>((IF(G7&lt;&gt;0,[1]Data!AO350,0)*(1+X20))*(1+X21))*(1+X22)</f>
        <v>7143514.9893751331</v>
      </c>
      <c r="H22" s="6">
        <f>((IF(H7&lt;&gt;0,[1]Data!AP350,0)*(1+X20))*(1+X21))*(1+X22)</f>
        <v>14431391.462197488</v>
      </c>
      <c r="I22" s="6"/>
      <c r="J22" s="6"/>
      <c r="U22" s="120" t="s">
        <v>130</v>
      </c>
      <c r="V22" s="92" t="s">
        <v>103</v>
      </c>
      <c r="W22" s="120"/>
      <c r="X22" s="93">
        <v>4.7800000000000002E-2</v>
      </c>
    </row>
    <row r="23" spans="1:26" x14ac:dyDescent="0.3">
      <c r="A23" t="s">
        <v>142</v>
      </c>
      <c r="B23" s="6"/>
      <c r="C23" s="6"/>
      <c r="D23" s="6"/>
      <c r="E23" s="6">
        <f>+E22*E13*E17*E15*(1+E18)</f>
        <v>2965.1648115334629</v>
      </c>
      <c r="F23" s="6">
        <f>+F22*F13*F17*F15*(1+F18)</f>
        <v>1077573.2979882089</v>
      </c>
      <c r="G23" s="6">
        <f>+G22*G13*G17*G15*(1+G18)</f>
        <v>214219.49768213398</v>
      </c>
      <c r="H23" s="6">
        <f>+H22*H13*H17*H15*(1+H18)</f>
        <v>432768.10288552445</v>
      </c>
      <c r="I23" s="6"/>
      <c r="J23" s="6">
        <f>SUM(B23:I23)</f>
        <v>1727526.0633674008</v>
      </c>
      <c r="U23" s="120"/>
      <c r="V23" s="92" t="s">
        <v>105</v>
      </c>
      <c r="W23" s="120"/>
      <c r="X23" s="93">
        <v>4.7800000000000002E-2</v>
      </c>
    </row>
    <row r="24" spans="1:26" x14ac:dyDescent="0.3">
      <c r="B24" s="6"/>
      <c r="D24" s="6"/>
      <c r="G24" s="6"/>
      <c r="H24" s="6"/>
      <c r="I24" s="6"/>
      <c r="J24" s="6"/>
    </row>
    <row r="25" spans="1:26" x14ac:dyDescent="0.3">
      <c r="A25" t="s">
        <v>201</v>
      </c>
      <c r="B25" s="2">
        <f>+B16/365</f>
        <v>1361.188137726768</v>
      </c>
      <c r="C25" s="2">
        <f t="shared" ref="C25:I25" si="14">+C16/365</f>
        <v>2444.4475703324806</v>
      </c>
      <c r="D25" s="2">
        <f t="shared" si="14"/>
        <v>21627.270530850408</v>
      </c>
      <c r="E25" s="2">
        <f t="shared" si="14"/>
        <v>820.19015572273895</v>
      </c>
      <c r="F25" s="2">
        <f t="shared" si="14"/>
        <v>12266.667476029788</v>
      </c>
      <c r="G25" s="2">
        <f t="shared" si="14"/>
        <v>4160.9040512969977</v>
      </c>
      <c r="H25" s="2">
        <f t="shared" si="14"/>
        <v>1360.3385504711941</v>
      </c>
      <c r="I25" s="2">
        <f t="shared" si="14"/>
        <v>3329.6770195877607</v>
      </c>
      <c r="J25" s="2">
        <f>+J16/365</f>
        <v>47370.683492018143</v>
      </c>
    </row>
    <row r="26" spans="1:26" x14ac:dyDescent="0.3">
      <c r="A26" t="s">
        <v>202</v>
      </c>
      <c r="B26" s="2">
        <f>+B25*5.5</f>
        <v>7486.5347574972238</v>
      </c>
      <c r="C26" s="2">
        <f t="shared" ref="C26:J26" si="15">+C25*5.5</f>
        <v>13444.461636828644</v>
      </c>
      <c r="D26" s="2">
        <f t="shared" si="15"/>
        <v>118949.98791967725</v>
      </c>
      <c r="E26" s="2">
        <f t="shared" si="15"/>
        <v>4511.0458564750643</v>
      </c>
      <c r="F26" s="2">
        <f t="shared" si="15"/>
        <v>67466.671118163838</v>
      </c>
      <c r="G26" s="2">
        <f t="shared" si="15"/>
        <v>22884.972282133487</v>
      </c>
      <c r="H26" s="2">
        <f t="shared" si="15"/>
        <v>7481.8620275915673</v>
      </c>
      <c r="I26" s="2">
        <f t="shared" si="15"/>
        <v>18313.223607732685</v>
      </c>
      <c r="J26" s="2">
        <f t="shared" si="15"/>
        <v>260538.75920609978</v>
      </c>
    </row>
    <row r="27" spans="1:26" x14ac:dyDescent="0.3">
      <c r="A27" t="s">
        <v>203</v>
      </c>
      <c r="B27" s="1">
        <f>+B9*0.5</f>
        <v>1.0511332397611926</v>
      </c>
      <c r="C27" s="1">
        <f t="shared" ref="C27:J27" si="16">+C9*0.5</f>
        <v>0.93172673849446574</v>
      </c>
      <c r="D27" s="1">
        <f t="shared" si="16"/>
        <v>1.0074060160270988</v>
      </c>
      <c r="E27" s="1">
        <f t="shared" si="16"/>
        <v>0.54675724380300583</v>
      </c>
      <c r="F27" s="1">
        <f t="shared" si="16"/>
        <v>0.98093305990617874</v>
      </c>
      <c r="G27" s="1">
        <f t="shared" si="16"/>
        <v>0.83280816553194414</v>
      </c>
      <c r="H27" s="1">
        <f t="shared" si="16"/>
        <v>0.83280816553194414</v>
      </c>
      <c r="I27" s="1">
        <f t="shared" si="16"/>
        <v>1.1853374629099989</v>
      </c>
      <c r="J27" s="1">
        <f t="shared" si="16"/>
        <v>0.99990336713895189</v>
      </c>
    </row>
    <row r="28" spans="1:26" x14ac:dyDescent="0.3">
      <c r="A28" t="s">
        <v>204</v>
      </c>
      <c r="B28" s="6">
        <f>+B26*B27</f>
        <v>7869.3455342328307</v>
      </c>
      <c r="C28" s="6">
        <f t="shared" ref="C28:J28" si="17">+C26*C27</f>
        <v>12526.56439169632</v>
      </c>
      <c r="D28" s="6">
        <f t="shared" si="17"/>
        <v>119830.93343663358</v>
      </c>
      <c r="E28" s="6">
        <f t="shared" si="17"/>
        <v>2466.446999155276</v>
      </c>
      <c r="F28" s="6">
        <f t="shared" si="17"/>
        <v>66180.288141624274</v>
      </c>
      <c r="G28" s="6">
        <f t="shared" si="17"/>
        <v>19058.791784532979</v>
      </c>
      <c r="H28" s="6">
        <f t="shared" si="17"/>
        <v>6230.9557899616457</v>
      </c>
      <c r="I28" s="6">
        <f t="shared" si="17"/>
        <v>21707.350008893358</v>
      </c>
      <c r="J28" s="6">
        <f t="shared" si="17"/>
        <v>260513.58260038379</v>
      </c>
      <c r="U28" s="122"/>
      <c r="V28" s="122"/>
      <c r="W28" s="122"/>
      <c r="X28" s="122"/>
      <c r="Y28" s="122"/>
    </row>
    <row r="29" spans="1:26" ht="15" thickBot="1" x14ac:dyDescent="0.35">
      <c r="B29" s="6"/>
      <c r="C29" s="6"/>
      <c r="D29" s="6"/>
      <c r="E29" s="6"/>
      <c r="F29" s="6"/>
      <c r="G29" s="6"/>
      <c r="H29" s="6"/>
      <c r="I29" s="6"/>
      <c r="J29" s="6"/>
      <c r="U29" s="122"/>
      <c r="V29" s="122"/>
      <c r="W29" s="122"/>
      <c r="X29" s="122"/>
      <c r="Y29" s="122"/>
    </row>
    <row r="30" spans="1:26" s="127" customFormat="1" x14ac:dyDescent="0.3">
      <c r="A30" s="127" t="s">
        <v>15</v>
      </c>
      <c r="B30" s="75">
        <f>+B23+B19+B28</f>
        <v>449509.06474298518</v>
      </c>
      <c r="C30" s="75">
        <f t="shared" ref="C30:J30" si="18">+C23+C19+C28</f>
        <v>529278.98062921176</v>
      </c>
      <c r="D30" s="75">
        <f t="shared" si="18"/>
        <v>9854516.767457163</v>
      </c>
      <c r="E30" s="75">
        <f t="shared" si="18"/>
        <v>25748.207051739984</v>
      </c>
      <c r="F30" s="75">
        <f t="shared" si="18"/>
        <v>7319880.5669000968</v>
      </c>
      <c r="G30" s="75">
        <f t="shared" si="18"/>
        <v>1681423.8139542299</v>
      </c>
      <c r="H30" s="75">
        <f t="shared" si="18"/>
        <v>912446.21327610663</v>
      </c>
      <c r="I30" s="75">
        <f t="shared" si="18"/>
        <v>2529181.7585787717</v>
      </c>
      <c r="J30" s="75">
        <f t="shared" si="18"/>
        <v>23306628.279103961</v>
      </c>
      <c r="K30"/>
      <c r="M30" s="75">
        <f>+M24+M19</f>
        <v>749578.68911223439</v>
      </c>
      <c r="N30" s="75">
        <f>+N24+N19</f>
        <v>64188.306925921068</v>
      </c>
      <c r="O30" s="6">
        <f>+O24+O19</f>
        <v>2800864.9048081301</v>
      </c>
      <c r="P30" s="6">
        <f>+P24+P19</f>
        <v>3614631.9008462857</v>
      </c>
      <c r="T30"/>
      <c r="U30" s="146"/>
      <c r="V30" s="147"/>
      <c r="W30" s="147"/>
      <c r="X30" s="147"/>
      <c r="Y30" s="148"/>
      <c r="Z30"/>
    </row>
    <row r="31" spans="1:26" x14ac:dyDescent="0.3">
      <c r="B31" s="6"/>
      <c r="C31" s="6"/>
      <c r="D31" s="6"/>
      <c r="E31" s="6"/>
      <c r="F31" s="6"/>
      <c r="G31" s="6"/>
      <c r="H31" s="6"/>
      <c r="I31" s="6"/>
      <c r="J31" s="6"/>
      <c r="U31" s="121"/>
      <c r="V31" s="122"/>
      <c r="W31" s="122"/>
      <c r="X31" s="122"/>
      <c r="Y31" s="149"/>
    </row>
    <row r="32" spans="1:26" x14ac:dyDescent="0.3">
      <c r="A32" s="123" t="s">
        <v>73</v>
      </c>
      <c r="B32" s="104">
        <f>+'[1]SAS Data'!BT339</f>
        <v>6850988</v>
      </c>
      <c r="C32" s="104">
        <f>+D32</f>
        <v>6850988</v>
      </c>
      <c r="D32" s="104">
        <f>+'[1]SAS Data'!BT339</f>
        <v>6850988</v>
      </c>
      <c r="E32" s="104">
        <f>+D32</f>
        <v>6850988</v>
      </c>
      <c r="F32" s="104">
        <f t="shared" ref="F32:J32" si="19">+E32</f>
        <v>6850988</v>
      </c>
      <c r="G32" s="104">
        <f t="shared" si="19"/>
        <v>6850988</v>
      </c>
      <c r="H32" s="104">
        <f>+G32</f>
        <v>6850988</v>
      </c>
      <c r="I32" s="104">
        <f>+H32</f>
        <v>6850988</v>
      </c>
      <c r="J32" s="104">
        <f t="shared" si="19"/>
        <v>6850988</v>
      </c>
      <c r="U32" s="180" t="s">
        <v>151</v>
      </c>
      <c r="V32" s="181"/>
      <c r="W32" s="181"/>
      <c r="X32" s="181"/>
      <c r="Y32" s="94"/>
    </row>
    <row r="33" spans="1:25" x14ac:dyDescent="0.3">
      <c r="A33" s="123" t="str">
        <f>"Cost Change "&amp;TEXT($B$2,"mm/DD/YyyY")</f>
        <v>Cost Change 01/01/2026</v>
      </c>
      <c r="B33" s="102">
        <f t="shared" ref="B33:J33" si="20">+B30/B32</f>
        <v>6.5612297779967674E-2</v>
      </c>
      <c r="C33" s="102">
        <f t="shared" si="20"/>
        <v>7.7255861582185184E-2</v>
      </c>
      <c r="D33" s="102">
        <f t="shared" si="20"/>
        <v>1.4384081197423149</v>
      </c>
      <c r="E33" s="102">
        <f t="shared" si="20"/>
        <v>3.7583202673453792E-3</v>
      </c>
      <c r="F33" s="102">
        <f t="shared" si="20"/>
        <v>1.068441598043975</v>
      </c>
      <c r="G33" s="102">
        <f t="shared" si="20"/>
        <v>0.2454279315558909</v>
      </c>
      <c r="H33" s="102">
        <f t="shared" si="20"/>
        <v>0.13318461706196341</v>
      </c>
      <c r="I33" s="102">
        <f t="shared" si="20"/>
        <v>0.36917036762854816</v>
      </c>
      <c r="J33" s="102">
        <f t="shared" si="20"/>
        <v>3.4019368124866021</v>
      </c>
      <c r="U33" s="124"/>
      <c r="V33" s="77"/>
      <c r="W33" s="77"/>
      <c r="X33" s="77"/>
      <c r="Y33" s="94"/>
    </row>
    <row r="34" spans="1:25" x14ac:dyDescent="0.3">
      <c r="A34" s="123" t="s">
        <v>206</v>
      </c>
      <c r="B34" s="123"/>
      <c r="U34" s="180" t="s">
        <v>155</v>
      </c>
      <c r="V34" s="181"/>
      <c r="W34" s="181"/>
      <c r="X34" s="95">
        <v>3.169362</v>
      </c>
      <c r="Y34" s="94"/>
    </row>
    <row r="35" spans="1:25" ht="15" thickBot="1" x14ac:dyDescent="0.35">
      <c r="A35" t="s">
        <v>91</v>
      </c>
      <c r="B35" s="10">
        <f>+X11</f>
        <v>4.7800000000000002E-2</v>
      </c>
      <c r="C35" s="10">
        <f>+D35</f>
        <v>4.7800000000000002E-2</v>
      </c>
      <c r="D35" s="10">
        <f>+X11</f>
        <v>4.7800000000000002E-2</v>
      </c>
      <c r="E35" s="10">
        <f>+C35</f>
        <v>4.7800000000000002E-2</v>
      </c>
      <c r="F35" s="10">
        <f t="shared" ref="F35:J35" si="21">+E35</f>
        <v>4.7800000000000002E-2</v>
      </c>
      <c r="G35" s="10">
        <f t="shared" si="21"/>
        <v>4.7800000000000002E-2</v>
      </c>
      <c r="H35" s="10">
        <f t="shared" si="21"/>
        <v>4.7800000000000002E-2</v>
      </c>
      <c r="I35" s="10">
        <f t="shared" si="21"/>
        <v>4.7800000000000002E-2</v>
      </c>
      <c r="J35" s="10">
        <f t="shared" si="21"/>
        <v>4.7800000000000002E-2</v>
      </c>
      <c r="M35" s="10"/>
      <c r="N35" s="10"/>
      <c r="O35" s="10"/>
      <c r="P35" s="10"/>
      <c r="U35" s="180" t="s">
        <v>156</v>
      </c>
      <c r="V35" s="181"/>
      <c r="W35" s="181"/>
      <c r="X35" s="96">
        <v>3.1827350000000001</v>
      </c>
      <c r="Y35" s="94"/>
    </row>
    <row r="36" spans="1:25" x14ac:dyDescent="0.3">
      <c r="A36" t="str">
        <f>"Cost Change "&amp;TEXT($B$2+365,"mm/DD/YyyY")</f>
        <v>Cost Change 01/01/2027</v>
      </c>
      <c r="B36" s="7">
        <f>+B33*(1+B35)</f>
        <v>6.8748565613850135E-2</v>
      </c>
      <c r="C36" s="7">
        <f>+C33*(1+C35)</f>
        <v>8.0948691765813638E-2</v>
      </c>
      <c r="D36" s="7">
        <f>+D33*(1+D35)</f>
        <v>1.5071640278659977</v>
      </c>
      <c r="E36" s="7">
        <f t="shared" ref="E36:J36" si="22">+E33*(1+E35)</f>
        <v>3.9379679761244882E-3</v>
      </c>
      <c r="F36" s="7">
        <f t="shared" si="22"/>
        <v>1.1195131064304771</v>
      </c>
      <c r="G36" s="7">
        <f t="shared" si="22"/>
        <v>0.25715938668426253</v>
      </c>
      <c r="H36" s="7">
        <f t="shared" si="22"/>
        <v>0.13955084175752527</v>
      </c>
      <c r="I36" s="7">
        <f t="shared" si="22"/>
        <v>0.38681671120119276</v>
      </c>
      <c r="J36" s="7">
        <f t="shared" si="22"/>
        <v>3.5645493921234617</v>
      </c>
      <c r="M36" s="1"/>
      <c r="N36" s="1"/>
      <c r="O36" s="1"/>
      <c r="P36" s="1"/>
      <c r="Q36" s="73"/>
      <c r="U36" s="180" t="s">
        <v>152</v>
      </c>
      <c r="V36" s="181"/>
      <c r="W36" s="181"/>
      <c r="X36" s="77"/>
      <c r="Y36" s="97">
        <f>(X34+X35)/2</f>
        <v>3.1760485000000003</v>
      </c>
    </row>
    <row r="37" spans="1:25" x14ac:dyDescent="0.3">
      <c r="Q37" s="73"/>
      <c r="U37" s="124"/>
      <c r="V37" s="77"/>
      <c r="W37" s="77"/>
      <c r="X37" s="77"/>
      <c r="Y37" s="94"/>
    </row>
    <row r="38" spans="1:25" x14ac:dyDescent="0.3">
      <c r="A38" t="s">
        <v>92</v>
      </c>
      <c r="B38" s="10">
        <f>+B35</f>
        <v>4.7800000000000002E-2</v>
      </c>
      <c r="C38" s="10">
        <f>+D38</f>
        <v>4.7800000000000002E-2</v>
      </c>
      <c r="D38" s="10">
        <f>+D35</f>
        <v>4.7800000000000002E-2</v>
      </c>
      <c r="E38" s="10">
        <f>+C38</f>
        <v>4.7800000000000002E-2</v>
      </c>
      <c r="F38" s="10">
        <f t="shared" ref="F38:J38" si="23">+E38</f>
        <v>4.7800000000000002E-2</v>
      </c>
      <c r="G38" s="10">
        <f t="shared" si="23"/>
        <v>4.7800000000000002E-2</v>
      </c>
      <c r="H38" s="10">
        <f t="shared" si="23"/>
        <v>4.7800000000000002E-2</v>
      </c>
      <c r="I38" s="10">
        <f t="shared" si="23"/>
        <v>4.7800000000000002E-2</v>
      </c>
      <c r="J38" s="10">
        <f t="shared" si="23"/>
        <v>4.7800000000000002E-2</v>
      </c>
      <c r="L38" s="123" t="s">
        <v>73</v>
      </c>
      <c r="M38" s="104">
        <f>+B32</f>
        <v>6850988</v>
      </c>
      <c r="N38" s="104">
        <f>+O38</f>
        <v>6850988</v>
      </c>
      <c r="O38" s="104">
        <f>+D32</f>
        <v>6850988</v>
      </c>
      <c r="P38" s="104">
        <f>+N38</f>
        <v>6850988</v>
      </c>
      <c r="Q38" s="73"/>
      <c r="U38" s="180" t="s">
        <v>157</v>
      </c>
      <c r="V38" s="181"/>
      <c r="W38" s="181"/>
      <c r="X38" s="95">
        <v>3.25908</v>
      </c>
      <c r="Y38" s="94"/>
    </row>
    <row r="39" spans="1:25" ht="15" thickBot="1" x14ac:dyDescent="0.35">
      <c r="A39" t="str">
        <f>"Cost Change "&amp;TEXT($B$2+365*2,"mm/DD/YyyY")</f>
        <v>Cost Change 01/01/2028</v>
      </c>
      <c r="B39" s="7">
        <f>+B36*(1+B38)</f>
        <v>7.203474705019218E-2</v>
      </c>
      <c r="C39" s="7">
        <f>+C36*(1+C38)</f>
        <v>8.4818039232219533E-2</v>
      </c>
      <c r="D39" s="7">
        <f>+D36*(1+D38)</f>
        <v>1.5792064683979925</v>
      </c>
      <c r="E39" s="7">
        <f t="shared" ref="E39:J39" si="24">+E36*(1+E38)</f>
        <v>4.1262028453832389E-3</v>
      </c>
      <c r="F39" s="7">
        <f t="shared" si="24"/>
        <v>1.173025832917854</v>
      </c>
      <c r="G39" s="7">
        <f t="shared" si="24"/>
        <v>0.2694516053677703</v>
      </c>
      <c r="H39" s="7">
        <f t="shared" si="24"/>
        <v>0.14622137199353499</v>
      </c>
      <c r="I39" s="7">
        <f t="shared" si="24"/>
        <v>0.40530654999660981</v>
      </c>
      <c r="J39" s="7">
        <f t="shared" si="24"/>
        <v>3.7349348530669633</v>
      </c>
      <c r="L39" s="123" t="str">
        <f>"Cost Change "&amp;TEXT($B$2+365*2,"mm/DD/YyyY")</f>
        <v>Cost Change 01/01/2028</v>
      </c>
      <c r="M39" s="102">
        <f>+M30/M38</f>
        <v>0.10941176500560713</v>
      </c>
      <c r="N39" s="102">
        <f>+N30/N38</f>
        <v>9.3692044017477574E-3</v>
      </c>
      <c r="O39" s="102">
        <f>+O30/O38</f>
        <v>0.40882642106629441</v>
      </c>
      <c r="P39" s="102">
        <f>+P30/P38</f>
        <v>0.52760739047364935</v>
      </c>
      <c r="U39" s="180" t="s">
        <v>158</v>
      </c>
      <c r="V39" s="181"/>
      <c r="W39" s="181"/>
      <c r="X39" s="96">
        <v>3.2780420000000001</v>
      </c>
      <c r="Y39" s="94"/>
    </row>
    <row r="40" spans="1:25" x14ac:dyDescent="0.3">
      <c r="B40" s="10"/>
      <c r="C40" s="10"/>
      <c r="D40" s="10"/>
      <c r="E40" s="10"/>
      <c r="L40" s="123" t="s">
        <v>206</v>
      </c>
      <c r="M40" s="123"/>
      <c r="N40" s="123"/>
      <c r="O40" s="123"/>
      <c r="P40" s="123"/>
      <c r="U40" s="180" t="s">
        <v>153</v>
      </c>
      <c r="V40" s="181"/>
      <c r="W40" s="181"/>
      <c r="X40" s="77"/>
      <c r="Y40" s="97">
        <f>(X38+X39)/2</f>
        <v>3.268561</v>
      </c>
    </row>
    <row r="41" spans="1:25" x14ac:dyDescent="0.3">
      <c r="A41" t="s">
        <v>93</v>
      </c>
      <c r="B41" s="10">
        <f>+B38</f>
        <v>4.7800000000000002E-2</v>
      </c>
      <c r="C41" s="10">
        <f>+D41</f>
        <v>4.7800000000000002E-2</v>
      </c>
      <c r="D41" s="10">
        <f>+D38</f>
        <v>4.7800000000000002E-2</v>
      </c>
      <c r="E41" s="10">
        <f>+C41</f>
        <v>4.7800000000000002E-2</v>
      </c>
      <c r="F41" s="10">
        <f t="shared" ref="F41:J41" si="25">+E41</f>
        <v>4.7800000000000002E-2</v>
      </c>
      <c r="G41" s="10">
        <f t="shared" si="25"/>
        <v>4.7800000000000002E-2</v>
      </c>
      <c r="H41" s="10">
        <f t="shared" si="25"/>
        <v>4.7800000000000002E-2</v>
      </c>
      <c r="I41" s="10">
        <f t="shared" si="25"/>
        <v>4.7800000000000002E-2</v>
      </c>
      <c r="J41" s="10">
        <f t="shared" si="25"/>
        <v>4.7800000000000002E-2</v>
      </c>
      <c r="M41" s="10">
        <f>+I41</f>
        <v>4.7800000000000002E-2</v>
      </c>
      <c r="N41" s="10">
        <f>+O41</f>
        <v>4.7800000000000002E-2</v>
      </c>
      <c r="O41" s="10">
        <f>+J41</f>
        <v>4.7800000000000002E-2</v>
      </c>
      <c r="P41" s="10">
        <f>+N41</f>
        <v>4.7800000000000002E-2</v>
      </c>
      <c r="U41" s="124"/>
      <c r="V41" s="77"/>
      <c r="W41" s="77"/>
      <c r="X41" s="77"/>
      <c r="Y41" s="94"/>
    </row>
    <row r="42" spans="1:25" ht="15" thickBot="1" x14ac:dyDescent="0.35">
      <c r="A42" t="str">
        <f>"Cost Change "&amp;TEXT($B$2+365*3+1,"mm/DD/YyyY")</f>
        <v>Cost Change 01/01/2029</v>
      </c>
      <c r="B42" s="7">
        <f>+B39*(1+B41)</f>
        <v>7.5478007959191365E-2</v>
      </c>
      <c r="C42" s="7">
        <f>+C39*(1+C41)</f>
        <v>8.8872341507519631E-2</v>
      </c>
      <c r="D42" s="7">
        <f>+D39*(1+D41)</f>
        <v>1.6546925375874166</v>
      </c>
      <c r="E42" s="7">
        <f t="shared" ref="E42:J42" si="26">+E39*(1+E41)</f>
        <v>4.3234353413925579E-3</v>
      </c>
      <c r="F42" s="7">
        <f t="shared" si="26"/>
        <v>1.2290964677313274</v>
      </c>
      <c r="G42" s="7">
        <f t="shared" si="26"/>
        <v>0.28233139210434971</v>
      </c>
      <c r="H42" s="7">
        <f t="shared" si="26"/>
        <v>0.15321075357482597</v>
      </c>
      <c r="I42" s="7">
        <f t="shared" si="26"/>
        <v>0.42468020308644777</v>
      </c>
      <c r="J42" s="7">
        <f t="shared" si="26"/>
        <v>3.9134647390435644</v>
      </c>
      <c r="M42" s="7">
        <f t="shared" ref="M42" si="27">+M39*(1+M41)</f>
        <v>0.11464164737287516</v>
      </c>
      <c r="N42" s="7">
        <f>+N39*(1+N41)</f>
        <v>9.8170523721513008E-3</v>
      </c>
      <c r="O42" s="7">
        <f t="shared" ref="O42:P42" si="28">+O39*(1+O41)</f>
        <v>0.4283683239932633</v>
      </c>
      <c r="P42" s="7">
        <f t="shared" si="28"/>
        <v>0.55282702373828985</v>
      </c>
      <c r="U42" s="178" t="s">
        <v>154</v>
      </c>
      <c r="V42" s="179"/>
      <c r="W42" s="126"/>
      <c r="X42" s="126"/>
      <c r="Y42" s="150">
        <f>ROUND((Y40-Y36)/Y36,4)</f>
        <v>2.9100000000000001E-2</v>
      </c>
    </row>
    <row r="44" spans="1:25" x14ac:dyDescent="0.3">
      <c r="A44" t="s">
        <v>94</v>
      </c>
      <c r="B44" s="10">
        <f>+B41</f>
        <v>4.7800000000000002E-2</v>
      </c>
      <c r="C44" s="10">
        <f>+D44</f>
        <v>4.7800000000000002E-2</v>
      </c>
      <c r="D44" s="10">
        <f>+D41</f>
        <v>4.7800000000000002E-2</v>
      </c>
      <c r="E44" s="10">
        <f>+C44</f>
        <v>4.7800000000000002E-2</v>
      </c>
      <c r="F44" s="10">
        <f t="shared" ref="F44:J44" si="29">+E44</f>
        <v>4.7800000000000002E-2</v>
      </c>
      <c r="G44" s="10">
        <f t="shared" si="29"/>
        <v>4.7800000000000002E-2</v>
      </c>
      <c r="H44" s="10">
        <f t="shared" si="29"/>
        <v>4.7800000000000002E-2</v>
      </c>
      <c r="I44" s="10">
        <f t="shared" si="29"/>
        <v>4.7800000000000002E-2</v>
      </c>
      <c r="J44" s="10">
        <f t="shared" si="29"/>
        <v>4.7800000000000002E-2</v>
      </c>
      <c r="M44" s="10">
        <f>+I44</f>
        <v>4.7800000000000002E-2</v>
      </c>
      <c r="N44" s="10">
        <f>+O44</f>
        <v>4.7800000000000002E-2</v>
      </c>
      <c r="O44" s="10">
        <f>+J44</f>
        <v>4.7800000000000002E-2</v>
      </c>
      <c r="P44" s="10">
        <f>+N44</f>
        <v>4.7800000000000002E-2</v>
      </c>
    </row>
    <row r="45" spans="1:25" x14ac:dyDescent="0.3">
      <c r="A45" t="str">
        <f>"Cost Change "&amp;TEXT($B$2+365*4+1,"mm/DD/YyyY")</f>
        <v>Cost Change 01/01/2030</v>
      </c>
      <c r="B45" s="7">
        <f>+B42*(1+B44)</f>
        <v>7.908585673964072E-2</v>
      </c>
      <c r="C45" s="7">
        <f>+C42*(1+C44)</f>
        <v>9.3120439431579077E-2</v>
      </c>
      <c r="D45" s="7">
        <f>+D42*(1+D44)</f>
        <v>1.7337868408840953</v>
      </c>
      <c r="E45" s="7">
        <f t="shared" ref="E45:J45" si="30">+E42*(1+E44)</f>
        <v>4.5300955507111221E-3</v>
      </c>
      <c r="F45" s="7">
        <f t="shared" si="30"/>
        <v>1.2878472788888848</v>
      </c>
      <c r="G45" s="7">
        <f t="shared" si="30"/>
        <v>0.29582683264693765</v>
      </c>
      <c r="H45" s="7">
        <f t="shared" si="30"/>
        <v>0.16053422759570266</v>
      </c>
      <c r="I45" s="7">
        <f t="shared" si="30"/>
        <v>0.44497991679398002</v>
      </c>
      <c r="J45" s="7">
        <f t="shared" si="30"/>
        <v>4.1005283535698469</v>
      </c>
      <c r="M45" s="1">
        <f>+M42*(1+M44)</f>
        <v>0.1201215181172986</v>
      </c>
      <c r="N45" s="1">
        <f>+N42*(1+N44)</f>
        <v>1.0286307475540133E-2</v>
      </c>
      <c r="O45" s="1">
        <f>+O42*(1+O44)</f>
        <v>0.44884432988014134</v>
      </c>
      <c r="P45" s="1">
        <f>+P42*(1+P44)</f>
        <v>0.57925215547298015</v>
      </c>
    </row>
    <row r="46" spans="1:25" x14ac:dyDescent="0.3">
      <c r="B46" s="7"/>
      <c r="C46" s="7"/>
      <c r="D46" s="7"/>
      <c r="E46" s="7"/>
      <c r="F46" s="7"/>
      <c r="G46" s="7"/>
      <c r="H46" s="7"/>
      <c r="I46" s="7"/>
      <c r="J46" s="7"/>
    </row>
    <row r="48" spans="1:25" x14ac:dyDescent="0.3">
      <c r="A48" t="s">
        <v>163</v>
      </c>
      <c r="M48" t="s">
        <v>160</v>
      </c>
      <c r="N48" t="s">
        <v>112</v>
      </c>
      <c r="O48" t="s">
        <v>0</v>
      </c>
      <c r="P48" t="s">
        <v>14</v>
      </c>
    </row>
    <row r="49" spans="1:16" x14ac:dyDescent="0.3">
      <c r="A49" s="5"/>
      <c r="B49" s="109" t="str">
        <f t="shared" ref="B49:J49" si="31">+B6</f>
        <v>LPN</v>
      </c>
      <c r="C49" s="109" t="str">
        <f t="shared" si="31"/>
        <v>TMA</v>
      </c>
      <c r="D49" s="109" t="str">
        <f t="shared" si="31"/>
        <v>CNA</v>
      </c>
      <c r="E49" s="109" t="str">
        <f t="shared" si="31"/>
        <v>Cook</v>
      </c>
      <c r="F49" s="109" t="str">
        <f t="shared" si="31"/>
        <v>Dietary Aide</v>
      </c>
      <c r="G49" s="109" t="str">
        <f t="shared" si="31"/>
        <v>Hkpg</v>
      </c>
      <c r="H49" s="5" t="str">
        <f t="shared" si="31"/>
        <v>Laundry</v>
      </c>
      <c r="I49" s="109" t="str">
        <f t="shared" si="31"/>
        <v>Act Aide</v>
      </c>
      <c r="J49" s="5" t="str">
        <f t="shared" si="31"/>
        <v>Total</v>
      </c>
      <c r="L49" t="s">
        <v>113</v>
      </c>
      <c r="M49" s="6">
        <f>+M6</f>
        <v>21373814</v>
      </c>
      <c r="N49" s="6">
        <f>+N6</f>
        <v>1272443</v>
      </c>
      <c r="O49" s="6">
        <f>+O6</f>
        <v>49202758</v>
      </c>
      <c r="P49" s="86">
        <f>SUM(M49:O49)</f>
        <v>71849015</v>
      </c>
    </row>
    <row r="50" spans="1:16" x14ac:dyDescent="0.3">
      <c r="A50" t="s">
        <v>134</v>
      </c>
      <c r="B50" s="110">
        <f>+C3</f>
        <v>28.5</v>
      </c>
      <c r="C50" s="110">
        <f>+D3</f>
        <v>25</v>
      </c>
      <c r="D50" s="110">
        <f>+E3</f>
        <v>24</v>
      </c>
      <c r="E50" s="110">
        <f>+F3</f>
        <v>20.5</v>
      </c>
      <c r="F50" s="110">
        <f t="shared" ref="F50:I51" si="32">+E50</f>
        <v>20.5</v>
      </c>
      <c r="G50" s="110">
        <f t="shared" si="32"/>
        <v>20.5</v>
      </c>
      <c r="H50" s="7">
        <f t="shared" si="32"/>
        <v>20.5</v>
      </c>
      <c r="I50" s="110">
        <f t="shared" si="32"/>
        <v>20.5</v>
      </c>
      <c r="J50" s="7">
        <f>(B50*B57+D50*D57+C50*C57+E50*E57+F50*F57+G50*G57+H50*H57+I50*I57)/J57</f>
        <v>23.485568358568781</v>
      </c>
      <c r="L50" t="s">
        <v>114</v>
      </c>
      <c r="M50" s="8">
        <f>+O50</f>
        <v>5.6300000000000003E-2</v>
      </c>
      <c r="N50" s="8">
        <f>+O50</f>
        <v>5.6300000000000003E-2</v>
      </c>
      <c r="O50" s="8">
        <v>5.6300000000000003E-2</v>
      </c>
      <c r="P50" s="10">
        <f>+N50</f>
        <v>5.6300000000000003E-2</v>
      </c>
    </row>
    <row r="51" spans="1:16" x14ac:dyDescent="0.3">
      <c r="A51" t="s">
        <v>226</v>
      </c>
      <c r="B51" s="111">
        <f>'[1]LPN Sample'!$Q$101</f>
        <v>30.914571372952466</v>
      </c>
      <c r="C51" s="111">
        <f>'[1]TMA Sample'!$Q$101</f>
        <v>25.742867256558029</v>
      </c>
      <c r="D51" s="111">
        <f>'[1]CNA Sample'!$Q$101</f>
        <v>24.419993060005186</v>
      </c>
      <c r="E51" s="111">
        <f>'[1]Cook Sample'!$Q$101</f>
        <v>22.804771592363473</v>
      </c>
      <c r="F51" s="111">
        <f>'[1]aide sample'!$Q$101</f>
        <v>19.894637491438953</v>
      </c>
      <c r="G51" s="111">
        <f>'[1]HSKG Sample'!$Q$101</f>
        <v>20.309359135233624</v>
      </c>
      <c r="H51" s="7">
        <f t="shared" si="32"/>
        <v>20.309359135233624</v>
      </c>
      <c r="I51" s="111">
        <f>'[1]Act Sample'!$Q$101</f>
        <v>20.76618276511492</v>
      </c>
      <c r="J51" s="1">
        <f>+[1]Analysis!AG7</f>
        <v>22.728053188634767</v>
      </c>
      <c r="L51" t="s">
        <v>115</v>
      </c>
      <c r="M51" s="6">
        <f>+M49/(1+M50)</f>
        <v>20234605.699138504</v>
      </c>
      <c r="N51" s="6">
        <f>+N49/(1+N50)</f>
        <v>1204622.7397519643</v>
      </c>
      <c r="O51" s="6">
        <f>+O49/(1+O50)</f>
        <v>46580287.797027357</v>
      </c>
      <c r="P51" s="6">
        <f>+P49/(1+P50)</f>
        <v>68019516.235917822</v>
      </c>
    </row>
    <row r="52" spans="1:16" x14ac:dyDescent="0.3">
      <c r="A52" t="s">
        <v>227</v>
      </c>
      <c r="B52" s="110">
        <f>+[1]Analysis!F42</f>
        <v>1.1431780037758821</v>
      </c>
      <c r="C52" s="110">
        <f>+[1]Analysis!N42</f>
        <v>1.2543095923340752</v>
      </c>
      <c r="D52" s="110">
        <f>+[1]Analysis!J42</f>
        <v>1.2779861166770261</v>
      </c>
      <c r="E52" s="110">
        <f>+[1]Analysis!R42</f>
        <v>0.96683782621499692</v>
      </c>
      <c r="F52" s="110">
        <f>+[1]Analysis!V42</f>
        <v>1.3633899435174208</v>
      </c>
      <c r="G52" s="110">
        <f>+[1]Analysis!Z42</f>
        <v>1.2531146405918485</v>
      </c>
      <c r="H52" s="7">
        <f>+G52</f>
        <v>1.2531146405918485</v>
      </c>
      <c r="I52" s="110">
        <f>+[1]Analysis!AD42</f>
        <v>1.3150440115526973</v>
      </c>
      <c r="J52" s="1">
        <f>IF(J55=0,(B52*B59+D52*D59+C52*C59+E52*E59+F52*F59+G52*G59+H52*H59+I52*I59)/J59,J55+J54)</f>
        <v>1.4380085803160605</v>
      </c>
      <c r="L52" t="s">
        <v>169</v>
      </c>
      <c r="M52" s="8">
        <f>+O52</f>
        <v>0.10249999999999999</v>
      </c>
      <c r="N52" s="8">
        <f>+O52</f>
        <v>0.10249999999999999</v>
      </c>
      <c r="O52" s="8">
        <v>0.10249999999999999</v>
      </c>
      <c r="P52" s="10">
        <f t="shared" ref="P52" si="33">+N52</f>
        <v>0.10249999999999999</v>
      </c>
    </row>
    <row r="53" spans="1:16" x14ac:dyDescent="0.3">
      <c r="A53" t="s">
        <v>135</v>
      </c>
      <c r="B53" s="112">
        <f t="shared" ref="B53:J53" si="34">$X$11</f>
        <v>4.7800000000000002E-2</v>
      </c>
      <c r="C53" s="112">
        <f t="shared" si="34"/>
        <v>4.7800000000000002E-2</v>
      </c>
      <c r="D53" s="112">
        <f t="shared" si="34"/>
        <v>4.7800000000000002E-2</v>
      </c>
      <c r="E53" s="112">
        <f t="shared" si="34"/>
        <v>4.7800000000000002E-2</v>
      </c>
      <c r="F53" s="112">
        <f t="shared" si="34"/>
        <v>4.7800000000000002E-2</v>
      </c>
      <c r="G53" s="112">
        <f t="shared" si="34"/>
        <v>4.7800000000000002E-2</v>
      </c>
      <c r="H53" s="8">
        <f t="shared" si="34"/>
        <v>4.7800000000000002E-2</v>
      </c>
      <c r="I53" s="112">
        <f t="shared" si="34"/>
        <v>4.7800000000000002E-2</v>
      </c>
      <c r="J53" s="8">
        <f t="shared" si="34"/>
        <v>4.7800000000000002E-2</v>
      </c>
      <c r="L53" t="s">
        <v>170</v>
      </c>
      <c r="M53" s="8">
        <f t="shared" ref="M53:P56" si="35">+M10</f>
        <v>5.1499999999999997E-2</v>
      </c>
      <c r="N53" s="8">
        <f t="shared" si="35"/>
        <v>5.1499999999999997E-2</v>
      </c>
      <c r="O53" s="8">
        <f t="shared" si="35"/>
        <v>5.1499999999999997E-2</v>
      </c>
      <c r="P53" s="8">
        <f t="shared" si="35"/>
        <v>5.1499999999999997E-2</v>
      </c>
    </row>
    <row r="54" spans="1:16" x14ac:dyDescent="0.3">
      <c r="A54" t="s">
        <v>133</v>
      </c>
      <c r="B54" s="110">
        <f>+B53*B51</f>
        <v>1.477716511627128</v>
      </c>
      <c r="C54" s="110">
        <f>+C53*C51</f>
        <v>1.2305090548634738</v>
      </c>
      <c r="D54" s="110">
        <f>+D53*D51</f>
        <v>1.1672756682682479</v>
      </c>
      <c r="E54" s="110">
        <f t="shared" ref="E54:J54" si="36">+E53*E51</f>
        <v>1.090068082114974</v>
      </c>
      <c r="F54" s="110">
        <f t="shared" si="36"/>
        <v>0.95096367209078203</v>
      </c>
      <c r="G54" s="110">
        <f t="shared" si="36"/>
        <v>0.97078736666416732</v>
      </c>
      <c r="H54" s="7">
        <f t="shared" si="36"/>
        <v>0.97078736666416732</v>
      </c>
      <c r="I54" s="110">
        <f t="shared" si="36"/>
        <v>0.99262353617249321</v>
      </c>
      <c r="J54" s="7">
        <f t="shared" si="36"/>
        <v>1.086400942416742</v>
      </c>
      <c r="L54" t="s">
        <v>171</v>
      </c>
      <c r="M54" s="8">
        <f t="shared" si="35"/>
        <v>7.1999999999999995E-2</v>
      </c>
      <c r="N54" s="8">
        <f t="shared" si="35"/>
        <v>7.1999999999999995E-2</v>
      </c>
      <c r="O54" s="8">
        <f t="shared" si="35"/>
        <v>7.1999999999999995E-2</v>
      </c>
      <c r="P54" s="8">
        <f t="shared" si="35"/>
        <v>7.1999999999999995E-2</v>
      </c>
    </row>
    <row r="55" spans="1:16" x14ac:dyDescent="0.3">
      <c r="A55" t="s">
        <v>136</v>
      </c>
      <c r="B55" s="111">
        <f>MAX(B52-B54,0)</f>
        <v>0</v>
      </c>
      <c r="C55" s="111">
        <f>MAX(C52-C54,0)</f>
        <v>2.3800537470601402E-2</v>
      </c>
      <c r="D55" s="111">
        <f>MAX(D52-D54,0)</f>
        <v>0.11071044840877819</v>
      </c>
      <c r="E55" s="111">
        <f t="shared" ref="E55:I55" si="37">MAX(E52-E54,0)</f>
        <v>0</v>
      </c>
      <c r="F55" s="111">
        <f t="shared" si="37"/>
        <v>0.41242627142663879</v>
      </c>
      <c r="G55" s="111">
        <f t="shared" si="37"/>
        <v>0.2823272739276812</v>
      </c>
      <c r="H55" s="1">
        <f t="shared" si="37"/>
        <v>0.2823272739276812</v>
      </c>
      <c r="I55" s="111">
        <f t="shared" si="37"/>
        <v>0.32242047538020413</v>
      </c>
      <c r="J55" s="1">
        <f>+[1]Analysis!AF58</f>
        <v>0.35160763789931859</v>
      </c>
      <c r="L55" t="s">
        <v>148</v>
      </c>
      <c r="M55" s="8">
        <f t="shared" si="35"/>
        <v>4.8000000000000001E-2</v>
      </c>
      <c r="N55" s="8">
        <f t="shared" si="35"/>
        <v>4.8000000000000001E-2</v>
      </c>
      <c r="O55" s="8">
        <f t="shared" si="35"/>
        <v>4.8000000000000001E-2</v>
      </c>
      <c r="P55" s="8">
        <f t="shared" si="35"/>
        <v>4.8000000000000001E-2</v>
      </c>
    </row>
    <row r="56" spans="1:16" x14ac:dyDescent="0.3">
      <c r="A56" t="s">
        <v>145</v>
      </c>
      <c r="B56" s="112">
        <f>IFERROR(B55/B51,0)</f>
        <v>0</v>
      </c>
      <c r="C56" s="112">
        <f>IFERROR(C55/C51,0)</f>
        <v>9.2454881709177843E-4</v>
      </c>
      <c r="D56" s="112">
        <f>IFERROR(D55/D51,0)</f>
        <v>4.5335986843541998E-3</v>
      </c>
      <c r="E56" s="112">
        <f>IFERROR(E55/E51,0)</f>
        <v>0</v>
      </c>
      <c r="F56" s="112">
        <f t="shared" ref="F56:J56" si="38">IFERROR(F55/F51,0)</f>
        <v>2.0730524574982267E-2</v>
      </c>
      <c r="G56" s="112">
        <f t="shared" si="38"/>
        <v>1.3901338395158253E-2</v>
      </c>
      <c r="H56" s="8">
        <f t="shared" si="38"/>
        <v>1.3901338395158253E-2</v>
      </c>
      <c r="I56" s="112">
        <f t="shared" si="38"/>
        <v>1.5526227377803773E-2</v>
      </c>
      <c r="J56" s="8">
        <f t="shared" si="38"/>
        <v>1.5470204816096659E-2</v>
      </c>
      <c r="L56" t="s">
        <v>149</v>
      </c>
      <c r="M56" s="8">
        <f t="shared" si="35"/>
        <v>4.7800000000000002E-2</v>
      </c>
      <c r="N56" s="8">
        <f t="shared" si="35"/>
        <v>4.7800000000000002E-2</v>
      </c>
      <c r="O56" s="8">
        <f t="shared" si="35"/>
        <v>4.7800000000000002E-2</v>
      </c>
      <c r="P56" s="8">
        <f t="shared" si="35"/>
        <v>4.7800000000000002E-2</v>
      </c>
    </row>
    <row r="57" spans="1:16" x14ac:dyDescent="0.3">
      <c r="A57" t="s">
        <v>137</v>
      </c>
      <c r="B57" s="113">
        <f>+[1]Analysis!F49</f>
        <v>4837591</v>
      </c>
      <c r="C57" s="113">
        <f>+[1]Analysis!N49</f>
        <v>2114299</v>
      </c>
      <c r="D57" s="113">
        <f>+[1]Analysis!J49</f>
        <v>15157400</v>
      </c>
      <c r="E57" s="113">
        <f>IF(E50&lt;&gt;0,[1]Analysis!R49,0)</f>
        <v>1760996.5108164689</v>
      </c>
      <c r="F57" s="113">
        <f>IF(F50&lt;&gt;0,[1]Analysis!V49,0)</f>
        <v>4547773.4891835311</v>
      </c>
      <c r="G57" s="113">
        <f>IF(G50&lt;&gt;0,[1]Analysis!Z49,0)</f>
        <v>2564562</v>
      </c>
      <c r="H57" s="2">
        <f>+H14</f>
        <v>838441</v>
      </c>
      <c r="I57" s="113">
        <f>IF(I50&lt;&gt;0,[1]Analysis!AD49,0)</f>
        <v>2097428</v>
      </c>
      <c r="J57" s="2">
        <f>SUM(B57:I57)</f>
        <v>33918491</v>
      </c>
      <c r="L57" t="s">
        <v>172</v>
      </c>
      <c r="M57" s="10">
        <f>+M56</f>
        <v>4.7800000000000002E-2</v>
      </c>
      <c r="N57" s="10">
        <f t="shared" ref="N57:P57" si="39">+N56</f>
        <v>4.7800000000000002E-2</v>
      </c>
      <c r="O57" s="10">
        <f t="shared" si="39"/>
        <v>4.7800000000000002E-2</v>
      </c>
      <c r="P57" s="10">
        <f t="shared" si="39"/>
        <v>4.7800000000000002E-2</v>
      </c>
    </row>
    <row r="58" spans="1:16" x14ac:dyDescent="0.3">
      <c r="A58" t="s">
        <v>223</v>
      </c>
      <c r="B58" s="114">
        <f>+[1]Analysis!F48</f>
        <v>0.11216216216216217</v>
      </c>
      <c r="C58" s="114">
        <f>+[1]Analysis!N48</f>
        <v>0.46035805626598464</v>
      </c>
      <c r="D58" s="114">
        <f>+[1]Analysis!J48</f>
        <v>0.56738768718802002</v>
      </c>
      <c r="E58" s="114">
        <f>+[1]Analysis!R48</f>
        <v>0.25</v>
      </c>
      <c r="F58" s="114">
        <f>+[1]Analysis!V48</f>
        <v>0.9699903194578896</v>
      </c>
      <c r="G58" s="114">
        <f>+[1]Analysis!Z48</f>
        <v>0.65780141843971629</v>
      </c>
      <c r="H58" s="84">
        <f>+G58</f>
        <v>0.65780141843971629</v>
      </c>
      <c r="I58" s="114">
        <f>+[1]Analysis!AD48</f>
        <v>0.63785046728971961</v>
      </c>
      <c r="J58" s="84">
        <f>+J59/J57</f>
        <v>0.54672073682657496</v>
      </c>
      <c r="L58" t="s">
        <v>116</v>
      </c>
      <c r="M58" s="8">
        <f>(((((1*(1+M52))*(1+M53))*(1+M54))*(1+M55))*(1+M56))*(1+M57)</f>
        <v>1.4298837525307473</v>
      </c>
      <c r="N58" s="8">
        <f t="shared" ref="N58:P58" si="40">(((((1*(1+N52))*(1+N53))*(1+N54))*(1+N55))*(1+N56))*(1+N57)</f>
        <v>1.4298837525307473</v>
      </c>
      <c r="O58" s="8">
        <f t="shared" si="40"/>
        <v>1.4298837525307473</v>
      </c>
      <c r="P58" s="8">
        <f t="shared" si="40"/>
        <v>1.4298837525307473</v>
      </c>
    </row>
    <row r="59" spans="1:16" x14ac:dyDescent="0.3">
      <c r="A59" t="s">
        <v>138</v>
      </c>
      <c r="B59" s="113">
        <f>B58*B57</f>
        <v>542594.66621621628</v>
      </c>
      <c r="C59" s="113">
        <f>C58*C57</f>
        <v>973334.57800511504</v>
      </c>
      <c r="D59" s="113">
        <f t="shared" ref="D59:I59" si="41">D58*D57</f>
        <v>8600122.1297836937</v>
      </c>
      <c r="E59" s="113">
        <f t="shared" si="41"/>
        <v>440249.12770411721</v>
      </c>
      <c r="F59" s="113">
        <f t="shared" si="41"/>
        <v>4411296.2595952544</v>
      </c>
      <c r="G59" s="113">
        <f t="shared" si="41"/>
        <v>1686972.5212765958</v>
      </c>
      <c r="H59" s="106">
        <f t="shared" si="41"/>
        <v>551527.67907801422</v>
      </c>
      <c r="I59" s="113">
        <f t="shared" si="41"/>
        <v>1337845.4299065419</v>
      </c>
      <c r="J59" s="2">
        <f>SUM(B59:I59)</f>
        <v>18543942.39156555</v>
      </c>
      <c r="L59" t="s">
        <v>150</v>
      </c>
      <c r="M59" s="6">
        <f>+M51*M58</f>
        <v>28933133.928064208</v>
      </c>
      <c r="N59" s="6">
        <f>+N51*N58</f>
        <v>1722470.4835004085</v>
      </c>
      <c r="O59" s="6">
        <f>+O51*O58</f>
        <v>66604396.709175654</v>
      </c>
      <c r="P59" s="6">
        <f>+P51*P58</f>
        <v>97260001.120740265</v>
      </c>
    </row>
    <row r="60" spans="1:16" x14ac:dyDescent="0.3">
      <c r="A60" t="s">
        <v>228</v>
      </c>
      <c r="B60" s="115">
        <f>+[1]Analysis!F52</f>
        <v>1.1011261824218856</v>
      </c>
      <c r="C60" s="115">
        <f>+[1]Analysis!N52</f>
        <v>0.64779126984192892</v>
      </c>
      <c r="D60" s="115">
        <f>+[1]Analysis!J52</f>
        <v>1.1930379851693549</v>
      </c>
      <c r="E60" s="115">
        <f>+[1]Analysis!R52</f>
        <v>1.0743589575037351</v>
      </c>
      <c r="F60" s="115">
        <f>+[1]Analysis!V52</f>
        <v>1.1319978934984971</v>
      </c>
      <c r="G60" s="115">
        <f>+[1]Analysis!Z52</f>
        <v>1.1188444786517682</v>
      </c>
      <c r="H60" s="3">
        <f>+G60</f>
        <v>1.1188444786517682</v>
      </c>
      <c r="I60" s="115">
        <f>+[1]Analysis!AD52</f>
        <v>1.2632354078372341</v>
      </c>
      <c r="J60" s="3">
        <f>+[1]Analysis!AG52</f>
        <v>1.1566733402419702</v>
      </c>
      <c r="L60" t="s">
        <v>159</v>
      </c>
      <c r="M60" s="8">
        <f>+M16</f>
        <v>2.9100000000000001E-2</v>
      </c>
      <c r="N60" s="8">
        <f>+N16</f>
        <v>2.9100000000000001E-2</v>
      </c>
      <c r="O60" s="8">
        <f>+O16</f>
        <v>2.9100000000000001E-2</v>
      </c>
      <c r="P60" s="8">
        <f>+N60</f>
        <v>2.9100000000000001E-2</v>
      </c>
    </row>
    <row r="61" spans="1:16" x14ac:dyDescent="0.3">
      <c r="A61" t="s">
        <v>225</v>
      </c>
      <c r="B61" s="112">
        <f>+[1]Data!X356</f>
        <v>0.11325497383971654</v>
      </c>
      <c r="C61" s="112">
        <f>+B61</f>
        <v>0.11325497383971654</v>
      </c>
      <c r="D61" s="112">
        <f>+C61</f>
        <v>0.11325497383971654</v>
      </c>
      <c r="E61" s="112">
        <f>+C61</f>
        <v>0.11325497383971654</v>
      </c>
      <c r="F61" s="112">
        <f t="shared" ref="F61:J61" si="42">+E61</f>
        <v>0.11325497383971654</v>
      </c>
      <c r="G61" s="112">
        <f t="shared" si="42"/>
        <v>0.11325497383971654</v>
      </c>
      <c r="H61" s="8">
        <f t="shared" si="42"/>
        <v>0.11325497383971654</v>
      </c>
      <c r="I61" s="112">
        <f t="shared" si="42"/>
        <v>0.11325497383971654</v>
      </c>
      <c r="J61" s="8">
        <f t="shared" si="42"/>
        <v>0.11325497383971654</v>
      </c>
      <c r="L61" t="s">
        <v>146</v>
      </c>
      <c r="M61" s="6">
        <f>(M59*(1+M60))*(1+M55)</f>
        <v>31204292.355388679</v>
      </c>
      <c r="N61" s="6">
        <f>(N59*(1+N60))*(1+N55)</f>
        <v>1857678.9045496434</v>
      </c>
      <c r="O61" s="6">
        <f>(O59*(1+O60))*(1+O55)</f>
        <v>71832628.71677646</v>
      </c>
      <c r="P61" s="6">
        <f>(P59*(1+P60))*(1+P55)</f>
        <v>104894599.97671477</v>
      </c>
    </row>
    <row r="62" spans="1:16" x14ac:dyDescent="0.3">
      <c r="A62" t="s">
        <v>139</v>
      </c>
      <c r="B62" s="116">
        <f t="shared" ref="B62" si="43">+B55*B59*B60*(1+B61)</f>
        <v>0</v>
      </c>
      <c r="C62" s="116">
        <f>+C55*C59*C60*(1+C61)</f>
        <v>16706.237517142388</v>
      </c>
      <c r="D62" s="116">
        <f t="shared" ref="D62:I62" si="44">+D55*D59*D60*(1+D61)</f>
        <v>1264567.8726767933</v>
      </c>
      <c r="E62" s="116">
        <f t="shared" si="44"/>
        <v>0</v>
      </c>
      <c r="F62" s="116">
        <f t="shared" si="44"/>
        <v>2292729.4549568966</v>
      </c>
      <c r="G62" s="116">
        <f t="shared" si="44"/>
        <v>593232.87535437173</v>
      </c>
      <c r="H62" s="6">
        <f t="shared" si="44"/>
        <v>193947.64690617527</v>
      </c>
      <c r="I62" s="116">
        <f t="shared" si="44"/>
        <v>606607.09805043426</v>
      </c>
      <c r="J62" s="6">
        <f>SUM(B62:I62)</f>
        <v>4967791.1854618136</v>
      </c>
      <c r="L62" t="s">
        <v>147</v>
      </c>
      <c r="M62" s="8">
        <f>+B56</f>
        <v>0</v>
      </c>
      <c r="N62" s="8">
        <f>+C56</f>
        <v>9.2454881709177843E-4</v>
      </c>
      <c r="O62" s="8">
        <f>+D56</f>
        <v>4.5335986843541998E-3</v>
      </c>
      <c r="P62" s="8">
        <f>+P63/P61</f>
        <v>3.1210169632230143E-3</v>
      </c>
    </row>
    <row r="63" spans="1:16" x14ac:dyDescent="0.3">
      <c r="A63" s="117" t="s">
        <v>205</v>
      </c>
      <c r="B63" s="116"/>
      <c r="C63" s="116"/>
      <c r="D63" s="116"/>
      <c r="E63" s="116"/>
      <c r="F63" s="116"/>
      <c r="G63" s="116"/>
      <c r="H63" s="116"/>
      <c r="I63" s="116"/>
      <c r="J63" s="116"/>
      <c r="L63" t="s">
        <v>143</v>
      </c>
      <c r="M63" s="6">
        <f>+M61*M62</f>
        <v>0</v>
      </c>
      <c r="N63" s="6">
        <f>+N61*N62</f>
        <v>1717.5148337377236</v>
      </c>
      <c r="O63" s="6">
        <f>+O61*O62</f>
        <v>325660.31104408146</v>
      </c>
      <c r="P63" s="6">
        <f>SUM(M63:O63)</f>
        <v>327377.82587781921</v>
      </c>
    </row>
    <row r="64" spans="1:16" x14ac:dyDescent="0.3">
      <c r="A64" s="85" t="s">
        <v>140</v>
      </c>
      <c r="B64" s="6"/>
      <c r="D64" s="6"/>
      <c r="E64" s="6">
        <f>+E21*(1+X11)</f>
        <v>20925548.41427074</v>
      </c>
      <c r="G64" s="8"/>
      <c r="H64" s="8"/>
      <c r="I64" s="6"/>
      <c r="J64" s="6"/>
    </row>
    <row r="65" spans="1:25" x14ac:dyDescent="0.3">
      <c r="A65" t="s">
        <v>141</v>
      </c>
      <c r="B65" s="1"/>
      <c r="C65" s="6"/>
      <c r="D65" s="1"/>
      <c r="E65" s="6">
        <f>IFERROR([1]Analysis!Q49/([1]Analysis!Q49+[1]Analysis!U49)*$E64,0)</f>
        <v>5841046.3124272823</v>
      </c>
      <c r="F65" s="6">
        <f>IFERROR([1]Analysis!U49/([1]Analysis!Q49+[1]Analysis!U49)*$E64,0)</f>
        <v>15084502.101843458</v>
      </c>
      <c r="G65" s="6">
        <f>+G22*(1+X11)</f>
        <v>7484975.0058672652</v>
      </c>
      <c r="H65" s="6">
        <f>+H22*(1+Y11)</f>
        <v>14431391.462197488</v>
      </c>
      <c r="I65" s="6"/>
      <c r="J65" s="6"/>
    </row>
    <row r="66" spans="1:25" x14ac:dyDescent="0.3">
      <c r="A66" t="s">
        <v>142</v>
      </c>
      <c r="B66" s="6"/>
      <c r="C66" s="6"/>
      <c r="D66" s="6"/>
      <c r="E66" s="6">
        <f>+E65*E56*E60*E58*(1+E61)</f>
        <v>0</v>
      </c>
      <c r="F66" s="6">
        <f>+F65*F56*F60*F58*(1+F61)</f>
        <v>382251.26785804535</v>
      </c>
      <c r="G66" s="6">
        <f>+G65*G56*G60*G58*(1+G61)</f>
        <v>85252.307476149246</v>
      </c>
      <c r="H66" s="6">
        <f>+H65*H56*H60*H58*(1+H61)</f>
        <v>164370.54516274662</v>
      </c>
      <c r="I66" s="6"/>
      <c r="J66" s="6"/>
    </row>
    <row r="67" spans="1:25" x14ac:dyDescent="0.3">
      <c r="B67" s="6"/>
      <c r="C67" s="6"/>
      <c r="D67" s="6"/>
      <c r="E67" s="6"/>
      <c r="F67" s="6"/>
      <c r="G67" s="6"/>
      <c r="H67" s="6"/>
      <c r="I67" s="6"/>
      <c r="J67" s="6"/>
    </row>
    <row r="68" spans="1:25" x14ac:dyDescent="0.3">
      <c r="A68" t="s">
        <v>201</v>
      </c>
      <c r="B68" s="2">
        <f>+B59/365</f>
        <v>1486.5607293594967</v>
      </c>
      <c r="C68" s="2">
        <f t="shared" ref="C68:I68" si="45">+C59/365</f>
        <v>2666.6700767263424</v>
      </c>
      <c r="D68" s="2">
        <f t="shared" si="45"/>
        <v>23561.978437763544</v>
      </c>
      <c r="E68" s="2">
        <f t="shared" si="45"/>
        <v>1206.1619937099101</v>
      </c>
      <c r="F68" s="2">
        <f t="shared" si="45"/>
        <v>12085.743176973299</v>
      </c>
      <c r="G68" s="2">
        <f t="shared" si="45"/>
        <v>4621.8425240454681</v>
      </c>
      <c r="H68" s="2">
        <f t="shared" si="45"/>
        <v>1511.034737200039</v>
      </c>
      <c r="I68" s="2">
        <f t="shared" si="45"/>
        <v>3665.3299449494298</v>
      </c>
      <c r="J68" s="2">
        <f>+J59/365</f>
        <v>50805.321620727533</v>
      </c>
    </row>
    <row r="69" spans="1:25" x14ac:dyDescent="0.3">
      <c r="A69" t="s">
        <v>202</v>
      </c>
      <c r="B69" s="2">
        <f>+B68*5.5</f>
        <v>8176.0840114772318</v>
      </c>
      <c r="C69" s="2">
        <f t="shared" ref="C69:J69" si="46">+C68*5.5</f>
        <v>14666.685421994884</v>
      </c>
      <c r="D69" s="2">
        <f t="shared" si="46"/>
        <v>129590.88140769949</v>
      </c>
      <c r="E69" s="2">
        <f t="shared" si="46"/>
        <v>6633.8909654045056</v>
      </c>
      <c r="F69" s="2">
        <f t="shared" si="46"/>
        <v>66471.587473353153</v>
      </c>
      <c r="G69" s="2">
        <f t="shared" si="46"/>
        <v>25420.133882250073</v>
      </c>
      <c r="H69" s="2">
        <f t="shared" si="46"/>
        <v>8310.6910546002146</v>
      </c>
      <c r="I69" s="2">
        <f t="shared" si="46"/>
        <v>20159.314697221864</v>
      </c>
      <c r="J69" s="2">
        <f t="shared" si="46"/>
        <v>279429.26891400141</v>
      </c>
    </row>
    <row r="70" spans="1:25" x14ac:dyDescent="0.3">
      <c r="A70" t="s">
        <v>203</v>
      </c>
      <c r="B70" s="1">
        <f>+B52*0.5</f>
        <v>0.57158900188794104</v>
      </c>
      <c r="C70" s="1">
        <f t="shared" ref="C70:J70" si="47">+C52*0.5</f>
        <v>0.62715479616703762</v>
      </c>
      <c r="D70" s="1">
        <f t="shared" si="47"/>
        <v>0.63899305833851305</v>
      </c>
      <c r="E70" s="1">
        <f t="shared" si="47"/>
        <v>0.48341891310749846</v>
      </c>
      <c r="F70" s="1">
        <f t="shared" si="47"/>
        <v>0.68169497175871041</v>
      </c>
      <c r="G70" s="1">
        <f t="shared" si="47"/>
        <v>0.62655732029592426</v>
      </c>
      <c r="H70" s="1">
        <f t="shared" si="47"/>
        <v>0.62655732029592426</v>
      </c>
      <c r="I70" s="1">
        <f t="shared" si="47"/>
        <v>0.65752200577634867</v>
      </c>
      <c r="J70" s="1">
        <f t="shared" si="47"/>
        <v>0.71900429015803025</v>
      </c>
    </row>
    <row r="71" spans="1:25" x14ac:dyDescent="0.3">
      <c r="A71" t="s">
        <v>204</v>
      </c>
      <c r="B71" s="6">
        <f>+B69*B70</f>
        <v>4673.3596994722238</v>
      </c>
      <c r="C71" s="6">
        <f t="shared" ref="C71:J71" si="48">+C69*C70</f>
        <v>9198.2821062772637</v>
      </c>
      <c r="D71" s="6">
        <f t="shared" si="48"/>
        <v>82807.673643489441</v>
      </c>
      <c r="E71" s="6">
        <f t="shared" si="48"/>
        <v>3206.9483601694997</v>
      </c>
      <c r="F71" s="6">
        <f t="shared" si="48"/>
        <v>45313.346945404126</v>
      </c>
      <c r="G71" s="6">
        <f t="shared" si="48"/>
        <v>15927.170966826236</v>
      </c>
      <c r="H71" s="6">
        <f t="shared" si="48"/>
        <v>5207.1243169776189</v>
      </c>
      <c r="I71" s="6">
        <f t="shared" si="48"/>
        <v>13255.193034793945</v>
      </c>
      <c r="J71" s="6">
        <f t="shared" si="48"/>
        <v>200910.84314488893</v>
      </c>
      <c r="U71" s="121"/>
      <c r="V71" s="122"/>
      <c r="W71" s="122"/>
      <c r="X71" s="122"/>
      <c r="Y71" s="122"/>
    </row>
    <row r="72" spans="1:25" x14ac:dyDescent="0.3">
      <c r="B72" s="6"/>
      <c r="D72" s="6"/>
      <c r="G72" s="6"/>
      <c r="H72" s="6"/>
      <c r="I72" s="6"/>
      <c r="J72" s="6"/>
    </row>
    <row r="73" spans="1:25" x14ac:dyDescent="0.3">
      <c r="A73" t="s">
        <v>15</v>
      </c>
      <c r="B73" s="6">
        <f>+B66+B62+B71</f>
        <v>4673.3596994722238</v>
      </c>
      <c r="C73">
        <f>+C66+C62+C71</f>
        <v>25904.519623419652</v>
      </c>
      <c r="D73" s="6">
        <f t="shared" ref="D73:J73" si="49">+D66+D62+D71</f>
        <v>1347375.5463202826</v>
      </c>
      <c r="E73">
        <f t="shared" si="49"/>
        <v>3206.9483601694997</v>
      </c>
      <c r="F73">
        <f t="shared" si="49"/>
        <v>2720294.0697603459</v>
      </c>
      <c r="G73" s="6">
        <f t="shared" si="49"/>
        <v>694412.35379734728</v>
      </c>
      <c r="H73" s="6">
        <f t="shared" si="49"/>
        <v>363525.3163858995</v>
      </c>
      <c r="I73" s="6">
        <f t="shared" si="49"/>
        <v>619862.29108522821</v>
      </c>
      <c r="J73" s="6">
        <f t="shared" si="49"/>
        <v>5168702.0286067026</v>
      </c>
      <c r="M73" s="6">
        <f>+M72+M63</f>
        <v>0</v>
      </c>
      <c r="N73" s="6">
        <f>+N72+N63</f>
        <v>1717.5148337377236</v>
      </c>
      <c r="O73">
        <f>+O72+O63</f>
        <v>325660.31104408146</v>
      </c>
      <c r="P73">
        <f>+P72+P63</f>
        <v>327377.82587781921</v>
      </c>
    </row>
    <row r="74" spans="1:25" x14ac:dyDescent="0.3">
      <c r="B74" s="6"/>
      <c r="C74" s="6"/>
      <c r="D74" s="6"/>
      <c r="E74" s="6"/>
      <c r="F74" s="6"/>
      <c r="G74" s="6"/>
      <c r="H74" s="6"/>
      <c r="I74" s="6"/>
      <c r="J74" s="6"/>
    </row>
    <row r="75" spans="1:25" x14ac:dyDescent="0.3">
      <c r="A75" s="117" t="s">
        <v>73</v>
      </c>
      <c r="B75" s="113">
        <f t="shared" ref="B75:J75" si="50">+B32</f>
        <v>6850988</v>
      </c>
      <c r="C75" s="113">
        <f t="shared" si="50"/>
        <v>6850988</v>
      </c>
      <c r="D75" s="113">
        <f t="shared" si="50"/>
        <v>6850988</v>
      </c>
      <c r="E75" s="113">
        <f t="shared" si="50"/>
        <v>6850988</v>
      </c>
      <c r="F75" s="113">
        <f t="shared" si="50"/>
        <v>6850988</v>
      </c>
      <c r="G75" s="113">
        <f t="shared" si="50"/>
        <v>6850988</v>
      </c>
      <c r="H75" s="113">
        <f t="shared" si="50"/>
        <v>6850988</v>
      </c>
      <c r="I75" s="113">
        <f t="shared" si="50"/>
        <v>6850988</v>
      </c>
      <c r="J75" s="113">
        <f t="shared" si="50"/>
        <v>6850988</v>
      </c>
    </row>
    <row r="76" spans="1:25" x14ac:dyDescent="0.3">
      <c r="A76" s="117" t="str">
        <f>"Cost Change "&amp;TEXT($B$2+365,"mm/DD/YyyY")</f>
        <v>Cost Change 01/01/2027</v>
      </c>
      <c r="B76" s="111">
        <f>+B73/B75</f>
        <v>6.8214390383871987E-4</v>
      </c>
      <c r="C76" s="111">
        <f>+C73/C75</f>
        <v>3.7811363300329312E-3</v>
      </c>
      <c r="D76" s="111">
        <f>+D73/D75</f>
        <v>0.19666879380321242</v>
      </c>
      <c r="E76" s="111">
        <f t="shared" ref="E76:J76" si="51">+E73/E75</f>
        <v>4.6810012806466743E-4</v>
      </c>
      <c r="F76" s="111">
        <f t="shared" si="51"/>
        <v>0.3970659516204591</v>
      </c>
      <c r="G76" s="111">
        <f t="shared" si="51"/>
        <v>0.10135944681224771</v>
      </c>
      <c r="H76" s="111">
        <f t="shared" si="51"/>
        <v>5.3061735969454259E-2</v>
      </c>
      <c r="I76" s="111">
        <f t="shared" si="51"/>
        <v>9.0477795477853437E-2</v>
      </c>
      <c r="J76" s="111">
        <f t="shared" si="51"/>
        <v>0.75444622419521135</v>
      </c>
    </row>
    <row r="77" spans="1:25" x14ac:dyDescent="0.3">
      <c r="A77" s="117" t="s">
        <v>206</v>
      </c>
      <c r="B77" s="111"/>
    </row>
    <row r="78" spans="1:25" x14ac:dyDescent="0.3">
      <c r="A78" t="s">
        <v>92</v>
      </c>
      <c r="B78" s="10">
        <f>$X$11</f>
        <v>4.7800000000000002E-2</v>
      </c>
      <c r="C78" s="10">
        <f t="shared" ref="C78:I78" si="52">$X$11</f>
        <v>4.7800000000000002E-2</v>
      </c>
      <c r="D78" s="10">
        <f t="shared" si="52"/>
        <v>4.7800000000000002E-2</v>
      </c>
      <c r="E78" s="10">
        <f t="shared" si="52"/>
        <v>4.7800000000000002E-2</v>
      </c>
      <c r="F78" s="10">
        <f t="shared" si="52"/>
        <v>4.7800000000000002E-2</v>
      </c>
      <c r="G78" s="10">
        <f t="shared" si="52"/>
        <v>4.7800000000000002E-2</v>
      </c>
      <c r="H78" s="10">
        <f t="shared" si="52"/>
        <v>4.7800000000000002E-2</v>
      </c>
      <c r="I78" s="10">
        <f t="shared" si="52"/>
        <v>4.7800000000000002E-2</v>
      </c>
      <c r="J78" s="10">
        <f t="shared" ref="J78" si="53">+I78</f>
        <v>4.7800000000000002E-2</v>
      </c>
      <c r="M78" s="10"/>
      <c r="N78" s="10"/>
      <c r="O78" s="10"/>
      <c r="P78" s="10"/>
    </row>
    <row r="79" spans="1:25" x14ac:dyDescent="0.3">
      <c r="A79" t="str">
        <f>"Cost Change "&amp;TEXT($B$2+365*2,"mm/DD/YyyY")</f>
        <v>Cost Change 01/01/2028</v>
      </c>
      <c r="B79" s="7">
        <f>+B76*(1+B78)</f>
        <v>7.1475038244221071E-4</v>
      </c>
      <c r="C79" s="7">
        <f>+C76*(1+C78)</f>
        <v>3.9618746466085052E-3</v>
      </c>
      <c r="D79" s="7">
        <f>+D76*(1+D78)</f>
        <v>0.20606956214700597</v>
      </c>
      <c r="E79" s="7">
        <f t="shared" ref="E79:J79" si="54">+E76*(1+E78)</f>
        <v>4.9047531418615852E-4</v>
      </c>
      <c r="F79" s="7">
        <f t="shared" si="54"/>
        <v>0.41604570410791708</v>
      </c>
      <c r="G79" s="7">
        <f t="shared" si="54"/>
        <v>0.10620442836987315</v>
      </c>
      <c r="H79" s="7">
        <f t="shared" si="54"/>
        <v>5.5598086948794173E-2</v>
      </c>
      <c r="I79" s="7">
        <f t="shared" si="54"/>
        <v>9.4802634101694844E-2</v>
      </c>
      <c r="J79" s="7">
        <f t="shared" si="54"/>
        <v>0.79050875371174245</v>
      </c>
      <c r="M79" s="1"/>
      <c r="N79" s="1"/>
      <c r="O79" s="1"/>
      <c r="P79" s="1"/>
    </row>
    <row r="81" spans="1:16" x14ac:dyDescent="0.3">
      <c r="A81" t="s">
        <v>93</v>
      </c>
      <c r="B81" s="10">
        <f>+B78</f>
        <v>4.7800000000000002E-2</v>
      </c>
      <c r="C81" s="10">
        <f>+D81</f>
        <v>4.7800000000000002E-2</v>
      </c>
      <c r="D81" s="10">
        <f>+D78</f>
        <v>4.7800000000000002E-2</v>
      </c>
      <c r="E81" s="10">
        <f>+C81</f>
        <v>4.7800000000000002E-2</v>
      </c>
      <c r="F81" s="10">
        <f t="shared" ref="F81:J81" si="55">+E81</f>
        <v>4.7800000000000002E-2</v>
      </c>
      <c r="G81" s="10">
        <f t="shared" si="55"/>
        <v>4.7800000000000002E-2</v>
      </c>
      <c r="H81" s="10">
        <f t="shared" si="55"/>
        <v>4.7800000000000002E-2</v>
      </c>
      <c r="I81" s="10">
        <f t="shared" si="55"/>
        <v>4.7800000000000002E-2</v>
      </c>
      <c r="J81" s="10">
        <f t="shared" si="55"/>
        <v>4.7800000000000002E-2</v>
      </c>
      <c r="L81" s="117" t="s">
        <v>73</v>
      </c>
      <c r="M81" s="113">
        <f>+B75</f>
        <v>6850988</v>
      </c>
      <c r="N81" s="113">
        <f>+O81</f>
        <v>6850988</v>
      </c>
      <c r="O81" s="113">
        <f>+D75</f>
        <v>6850988</v>
      </c>
      <c r="P81" s="113">
        <f>+N81</f>
        <v>6850988</v>
      </c>
    </row>
    <row r="82" spans="1:16" x14ac:dyDescent="0.3">
      <c r="A82" t="str">
        <f>"Cost Change "&amp;TEXT($B$2+365*3+1,"mm/DD/YyyY")</f>
        <v>Cost Change 01/01/2029</v>
      </c>
      <c r="B82" s="7">
        <f>+B79*(1+B81)</f>
        <v>7.4891545072294839E-4</v>
      </c>
      <c r="C82" s="7">
        <f>+C79*(1+C81)</f>
        <v>4.1512522547163923E-3</v>
      </c>
      <c r="D82" s="7">
        <f>+D79*(1+D81)</f>
        <v>0.21591968721763288</v>
      </c>
      <c r="E82" s="7">
        <f t="shared" ref="E82:J82" si="56">+E79*(1+E81)</f>
        <v>5.139200342042569E-4</v>
      </c>
      <c r="F82" s="7">
        <f t="shared" si="56"/>
        <v>0.43593268876427554</v>
      </c>
      <c r="G82" s="7">
        <f t="shared" si="56"/>
        <v>0.11128100004595309</v>
      </c>
      <c r="H82" s="7">
        <f t="shared" si="56"/>
        <v>5.8255675504946536E-2</v>
      </c>
      <c r="I82" s="7">
        <f t="shared" si="56"/>
        <v>9.9334200011755858E-2</v>
      </c>
      <c r="J82" s="7">
        <f t="shared" si="56"/>
        <v>0.82829507213916376</v>
      </c>
      <c r="L82" s="117" t="str">
        <f>"Cost Change "&amp;TEXT($B$2+365*3+1,"mm/DD/YyyY")</f>
        <v>Cost Change 01/01/2029</v>
      </c>
      <c r="M82" s="111">
        <f>+M73/M81</f>
        <v>0</v>
      </c>
      <c r="N82" s="111">
        <f>+N73/N81</f>
        <v>2.5069593374528221E-4</v>
      </c>
      <c r="O82" s="111">
        <f>+O73/O81</f>
        <v>4.7534795133794057E-2</v>
      </c>
      <c r="P82" s="111">
        <f>+P73/P81</f>
        <v>4.7785491067539342E-2</v>
      </c>
    </row>
    <row r="83" spans="1:16" x14ac:dyDescent="0.3">
      <c r="B83" s="10"/>
      <c r="C83" s="10"/>
      <c r="D83" s="10"/>
      <c r="E83" s="10"/>
      <c r="L83" s="117" t="s">
        <v>206</v>
      </c>
      <c r="M83" s="111"/>
      <c r="N83" s="117"/>
      <c r="O83" s="117"/>
      <c r="P83" s="117"/>
    </row>
    <row r="84" spans="1:16" x14ac:dyDescent="0.3">
      <c r="A84" t="s">
        <v>94</v>
      </c>
      <c r="B84" s="10">
        <f>+B81</f>
        <v>4.7800000000000002E-2</v>
      </c>
      <c r="C84" s="10">
        <f>+D84</f>
        <v>4.7800000000000002E-2</v>
      </c>
      <c r="D84" s="10">
        <f>+D81</f>
        <v>4.7800000000000002E-2</v>
      </c>
      <c r="E84" s="10">
        <f>+C84</f>
        <v>4.7800000000000002E-2</v>
      </c>
      <c r="F84" s="10">
        <f t="shared" ref="F84:J84" si="57">+E84</f>
        <v>4.7800000000000002E-2</v>
      </c>
      <c r="G84" s="10">
        <f t="shared" si="57"/>
        <v>4.7800000000000002E-2</v>
      </c>
      <c r="H84" s="10">
        <f t="shared" si="57"/>
        <v>4.7800000000000002E-2</v>
      </c>
      <c r="I84" s="10">
        <f t="shared" si="57"/>
        <v>4.7800000000000002E-2</v>
      </c>
      <c r="J84" s="10">
        <f t="shared" si="57"/>
        <v>4.7800000000000002E-2</v>
      </c>
      <c r="M84" s="10">
        <f>+I84</f>
        <v>4.7800000000000002E-2</v>
      </c>
      <c r="N84" s="10">
        <f>+O84</f>
        <v>4.7800000000000002E-2</v>
      </c>
      <c r="O84" s="10">
        <f>+J84</f>
        <v>4.7800000000000002E-2</v>
      </c>
      <c r="P84" s="10">
        <f>+N84</f>
        <v>4.7800000000000002E-2</v>
      </c>
    </row>
    <row r="85" spans="1:16" x14ac:dyDescent="0.3">
      <c r="A85" t="str">
        <f>"Cost Change "&amp;TEXT($B$2+365*4+1,"mm/DD/YyyY")</f>
        <v>Cost Change 01/01/2030</v>
      </c>
      <c r="B85" s="7">
        <f>+B82*(1+B84)</f>
        <v>7.847136092675054E-4</v>
      </c>
      <c r="C85" s="7">
        <f>+C82*(1+C84)</f>
        <v>4.3496821124918358E-3</v>
      </c>
      <c r="D85" s="7">
        <f>+D82*(1+D84)</f>
        <v>0.22624064826663576</v>
      </c>
      <c r="E85" s="7">
        <f t="shared" ref="E85:J85" si="58">+E82*(1+E84)</f>
        <v>5.3848541183922039E-4</v>
      </c>
      <c r="F85" s="7">
        <f t="shared" si="58"/>
        <v>0.45677027128720793</v>
      </c>
      <c r="G85" s="7">
        <f t="shared" si="58"/>
        <v>0.11660023184814966</v>
      </c>
      <c r="H85" s="7">
        <f t="shared" si="58"/>
        <v>6.1040296794082981E-2</v>
      </c>
      <c r="I85" s="7">
        <f t="shared" si="58"/>
        <v>0.1040823747723178</v>
      </c>
      <c r="J85" s="7">
        <f t="shared" si="58"/>
        <v>0.86788757658741589</v>
      </c>
      <c r="M85" s="7">
        <f t="shared" ref="M85" si="59">+M82*(1+M84)</f>
        <v>0</v>
      </c>
      <c r="N85" s="7">
        <f>+N82*(1+N84)</f>
        <v>2.6267919937830671E-4</v>
      </c>
      <c r="O85" s="7">
        <f t="shared" ref="O85:P85" si="60">+O82*(1+O84)</f>
        <v>4.9806958341189415E-2</v>
      </c>
      <c r="P85" s="7">
        <f t="shared" si="60"/>
        <v>5.0069637540567723E-2</v>
      </c>
    </row>
    <row r="87" spans="1:16" x14ac:dyDescent="0.3">
      <c r="B87" s="10"/>
      <c r="C87" s="10"/>
      <c r="D87" s="10"/>
      <c r="E87" s="10"/>
      <c r="F87" s="10"/>
      <c r="G87" s="10"/>
      <c r="H87" s="10"/>
      <c r="I87" s="10"/>
      <c r="J87" s="10"/>
      <c r="M87" s="10"/>
      <c r="N87" s="10"/>
      <c r="O87" s="10"/>
      <c r="P87" s="10"/>
    </row>
    <row r="88" spans="1:16" x14ac:dyDescent="0.3">
      <c r="B88" s="7"/>
      <c r="C88" s="7"/>
      <c r="D88" s="7"/>
      <c r="E88" s="7"/>
      <c r="F88" s="7"/>
      <c r="G88" s="7"/>
      <c r="H88" s="7"/>
      <c r="I88" s="7"/>
      <c r="J88" s="7"/>
      <c r="M88" s="7"/>
      <c r="N88" s="7"/>
      <c r="O88" s="7"/>
      <c r="P88" s="7"/>
    </row>
    <row r="89" spans="1:16" x14ac:dyDescent="0.3">
      <c r="A89" t="s">
        <v>173</v>
      </c>
      <c r="B89" s="127"/>
      <c r="C89" s="127"/>
      <c r="D89" s="127"/>
      <c r="E89" s="127"/>
      <c r="F89" s="127"/>
      <c r="G89" s="127"/>
      <c r="H89" s="127"/>
      <c r="I89" s="127"/>
      <c r="J89" s="127"/>
    </row>
    <row r="90" spans="1:16" x14ac:dyDescent="0.3">
      <c r="A90" t="s">
        <v>174</v>
      </c>
      <c r="B90" s="128">
        <f t="shared" ref="B90:I90" si="61">0+0+IF($B$2=45839,0.25*B33+0,0+0)</f>
        <v>0</v>
      </c>
      <c r="C90" s="128">
        <f t="shared" si="61"/>
        <v>0</v>
      </c>
      <c r="D90" s="128">
        <f t="shared" si="61"/>
        <v>0</v>
      </c>
      <c r="E90" s="128">
        <f t="shared" si="61"/>
        <v>0</v>
      </c>
      <c r="F90" s="128">
        <f t="shared" si="61"/>
        <v>0</v>
      </c>
      <c r="G90" s="128">
        <f t="shared" si="61"/>
        <v>0</v>
      </c>
      <c r="H90" s="128">
        <f t="shared" si="61"/>
        <v>0</v>
      </c>
      <c r="I90" s="128">
        <f t="shared" si="61"/>
        <v>0</v>
      </c>
      <c r="J90" s="128">
        <f>SUM(B90:I90)</f>
        <v>0</v>
      </c>
    </row>
    <row r="91" spans="1:16" x14ac:dyDescent="0.3">
      <c r="B91" s="127"/>
      <c r="C91" s="127"/>
      <c r="D91" s="127"/>
      <c r="E91" s="127"/>
      <c r="F91" s="127"/>
      <c r="G91" s="127"/>
      <c r="H91" s="127"/>
      <c r="I91" s="127"/>
      <c r="J91" s="127"/>
    </row>
    <row r="92" spans="1:16" x14ac:dyDescent="0.3">
      <c r="B92" s="127"/>
      <c r="C92" s="127"/>
      <c r="D92" s="127"/>
      <c r="E92" s="127"/>
      <c r="F92" s="127"/>
      <c r="G92" s="127"/>
      <c r="H92" s="127"/>
      <c r="I92" s="127"/>
      <c r="J92" s="127"/>
    </row>
    <row r="93" spans="1:16" x14ac:dyDescent="0.3">
      <c r="A93" t="s">
        <v>175</v>
      </c>
      <c r="B93" s="128">
        <f t="shared" ref="B93:I93" si="62">0.75*B33+0+IF($B$2=45839,0.25*B36+0.25*B76,0+0)</f>
        <v>4.9209223334975752E-2</v>
      </c>
      <c r="C93" s="128">
        <f t="shared" si="62"/>
        <v>5.7941896186638892E-2</v>
      </c>
      <c r="D93" s="128">
        <f t="shared" si="62"/>
        <v>1.0788060898067362</v>
      </c>
      <c r="E93" s="128">
        <f t="shared" si="62"/>
        <v>2.8187402005090344E-3</v>
      </c>
      <c r="F93" s="128">
        <f t="shared" si="62"/>
        <v>0.80133119853298118</v>
      </c>
      <c r="G93" s="128">
        <f t="shared" si="62"/>
        <v>0.18407094866691817</v>
      </c>
      <c r="H93" s="128">
        <f t="shared" si="62"/>
        <v>9.9888462796472566E-2</v>
      </c>
      <c r="I93" s="128">
        <f t="shared" si="62"/>
        <v>0.27687777572141115</v>
      </c>
      <c r="J93" s="128">
        <f>SUM(B93:I93)</f>
        <v>2.5509443352466432</v>
      </c>
    </row>
    <row r="94" spans="1:16" x14ac:dyDescent="0.3">
      <c r="B94" s="127"/>
      <c r="C94" s="127"/>
      <c r="D94" s="127"/>
      <c r="E94" s="127"/>
      <c r="F94" s="127"/>
      <c r="G94" s="127"/>
      <c r="H94" s="127"/>
      <c r="I94" s="127"/>
      <c r="J94" s="127"/>
    </row>
    <row r="95" spans="1:16" x14ac:dyDescent="0.3">
      <c r="B95" s="127"/>
      <c r="C95" s="127"/>
      <c r="D95" s="127"/>
      <c r="E95" s="127"/>
      <c r="F95" s="127"/>
      <c r="G95" s="127"/>
      <c r="H95" s="127"/>
      <c r="I95" s="127"/>
      <c r="J95" s="127"/>
    </row>
    <row r="96" spans="1:16" x14ac:dyDescent="0.3">
      <c r="A96" t="s">
        <v>176</v>
      </c>
      <c r="B96" s="128">
        <f>0.75*B36+0.75*B76+IF($B$2=45839,0.25*B39+0.25*B79,0.25*B33+0)+0+0+IF($B$2=45839,0.25*M39+0,0+0)</f>
        <v>6.8476106583258561E-2</v>
      </c>
      <c r="C96" s="128">
        <f>0.75*C36+0.75*C76+IF($B$2=45839,0.25*C39+0.25*C79,0.25*C33+0)+0+0+IF($B$2=45839,0.25*N39+0,0+0)</f>
        <v>8.2861336467431213E-2</v>
      </c>
      <c r="D96" s="128">
        <f>0.75*D36+0.75*D76+IF($B$2=45839,0.25*D39+0.25*D79,0.25*D33+0)+0+0+IF($B$2=45839,0.25*O39+0,0+0)</f>
        <v>1.6374766461874861</v>
      </c>
      <c r="E96" s="128">
        <f>0.75*E36+0.75*E76+IF($B$2=45839,0.25*E39+0.25*E79,0.25*E33+0)</f>
        <v>4.2441311449782117E-3</v>
      </c>
      <c r="F96" s="128">
        <f>0.75*F36+0.75*F76+IF($B$2=45839,0.25*F39+0.25*F79,0.25*F33+0)</f>
        <v>1.4045446930491958</v>
      </c>
      <c r="G96" s="128">
        <f>0.75*G36+0.75*G76+IF($B$2=45839,0.25*G39+0.25*G79,0.25*G33+0)</f>
        <v>0.3302461080113554</v>
      </c>
      <c r="H96" s="128">
        <f>0.75*H36+0.75*H76+IF($B$2=45839,0.25*H39+0.25*H79,0.25*H33+0)</f>
        <v>0.17775558756072549</v>
      </c>
      <c r="I96" s="128">
        <f>0.75*I36+0.75*I76+IF($B$2=45839,0.25*I39+0.25*I79,0.25*I33+0)</f>
        <v>0.45026347191642169</v>
      </c>
      <c r="J96" s="128">
        <f>SUM(B96:I96)</f>
        <v>4.1558680809208521</v>
      </c>
    </row>
    <row r="97" spans="1:10" x14ac:dyDescent="0.3">
      <c r="B97" s="127"/>
      <c r="C97" s="127"/>
      <c r="D97" s="127"/>
      <c r="E97" s="127"/>
      <c r="F97" s="127"/>
      <c r="G97" s="127"/>
      <c r="H97" s="127"/>
      <c r="I97" s="127"/>
      <c r="J97" s="127"/>
    </row>
    <row r="98" spans="1:10" x14ac:dyDescent="0.3">
      <c r="B98" s="127"/>
      <c r="C98" s="127"/>
      <c r="D98" s="127"/>
      <c r="E98" s="127"/>
      <c r="F98" s="127"/>
      <c r="G98" s="127"/>
      <c r="H98" s="127"/>
      <c r="I98" s="127"/>
      <c r="J98" s="127"/>
    </row>
    <row r="99" spans="1:10" x14ac:dyDescent="0.3">
      <c r="B99" s="128"/>
      <c r="C99" s="128"/>
      <c r="D99" s="128"/>
      <c r="E99" s="128"/>
      <c r="F99" s="128"/>
      <c r="G99" s="128"/>
      <c r="H99" s="128"/>
      <c r="I99" s="128"/>
      <c r="J99" s="128"/>
    </row>
    <row r="100" spans="1:10" x14ac:dyDescent="0.3">
      <c r="B100" s="127"/>
      <c r="C100" s="127"/>
      <c r="D100" s="127"/>
      <c r="E100" s="127"/>
      <c r="F100" s="127"/>
      <c r="G100" s="127"/>
      <c r="H100" s="127"/>
      <c r="I100" s="127"/>
      <c r="J100" s="127"/>
    </row>
    <row r="101" spans="1:10" x14ac:dyDescent="0.3">
      <c r="B101" s="127"/>
      <c r="C101" s="127"/>
      <c r="D101" s="127"/>
      <c r="E101" s="127"/>
      <c r="F101" s="127"/>
      <c r="G101" s="127"/>
      <c r="H101" s="127"/>
      <c r="I101" s="127"/>
      <c r="J101" s="127"/>
    </row>
    <row r="102" spans="1:10" x14ac:dyDescent="0.3">
      <c r="B102" s="128"/>
      <c r="C102" s="128"/>
      <c r="D102" s="128"/>
      <c r="E102" s="128"/>
      <c r="F102" s="128"/>
      <c r="G102" s="128"/>
      <c r="H102" s="128"/>
      <c r="I102" s="128"/>
      <c r="J102" s="128"/>
    </row>
    <row r="103" spans="1:10" x14ac:dyDescent="0.3">
      <c r="B103" s="127"/>
      <c r="C103" s="127"/>
      <c r="D103" s="127"/>
      <c r="E103" s="127"/>
      <c r="F103" s="127"/>
      <c r="G103" s="127"/>
      <c r="H103" s="127"/>
      <c r="I103" s="127"/>
      <c r="J103" s="127"/>
    </row>
    <row r="104" spans="1:10" x14ac:dyDescent="0.3">
      <c r="B104" s="127"/>
      <c r="C104" s="127"/>
      <c r="D104" s="127"/>
      <c r="E104" s="127"/>
      <c r="F104" s="127"/>
      <c r="G104" s="127"/>
      <c r="H104" s="127"/>
      <c r="I104" s="127"/>
      <c r="J104" s="127"/>
    </row>
    <row r="105" spans="1:10" x14ac:dyDescent="0.3">
      <c r="B105" s="128"/>
      <c r="C105" s="128"/>
      <c r="D105" s="128"/>
      <c r="E105" s="128"/>
      <c r="F105" s="128"/>
      <c r="G105" s="128"/>
      <c r="H105" s="128"/>
      <c r="I105" s="128"/>
      <c r="J105" s="128"/>
    </row>
    <row r="106" spans="1:10" x14ac:dyDescent="0.3">
      <c r="B106" s="127"/>
      <c r="C106" s="127"/>
      <c r="D106" s="127"/>
      <c r="E106" s="127"/>
      <c r="F106" s="127"/>
      <c r="G106" s="127"/>
      <c r="H106" s="127"/>
      <c r="I106" s="127"/>
      <c r="J106" s="127"/>
    </row>
    <row r="107" spans="1:10" hidden="1" x14ac:dyDescent="0.3">
      <c r="A107" s="118" t="s">
        <v>119</v>
      </c>
      <c r="B107" s="127"/>
      <c r="C107" s="127"/>
      <c r="D107" s="127"/>
      <c r="E107" s="127"/>
      <c r="F107" s="127"/>
      <c r="G107" s="127"/>
      <c r="H107" s="127"/>
      <c r="I107" s="127"/>
      <c r="J107" s="129"/>
    </row>
    <row r="108" spans="1:10" hidden="1" x14ac:dyDescent="0.3">
      <c r="A108" s="118" t="s">
        <v>176</v>
      </c>
      <c r="B108" s="130">
        <f>+B93*0.75</f>
        <v>3.6906917501231817E-2</v>
      </c>
      <c r="C108" s="130">
        <f>+C93*0.75</f>
        <v>4.3456422139979169E-2</v>
      </c>
      <c r="D108" s="130">
        <f>+D93*0.75</f>
        <v>0.8091045673550521</v>
      </c>
      <c r="E108" s="130">
        <f t="shared" ref="E108:I108" si="63">+E93*0.75</f>
        <v>2.1140551503817757E-3</v>
      </c>
      <c r="F108" s="130">
        <f t="shared" si="63"/>
        <v>0.60099839889973583</v>
      </c>
      <c r="G108" s="130">
        <f t="shared" si="63"/>
        <v>0.13805321150018862</v>
      </c>
      <c r="H108" s="130">
        <f t="shared" si="63"/>
        <v>7.4916347097354424E-2</v>
      </c>
      <c r="I108" s="130">
        <f t="shared" si="63"/>
        <v>0.20765833179105836</v>
      </c>
      <c r="J108" s="130">
        <f>SUM(B108:I108)</f>
        <v>1.913208251434982</v>
      </c>
    </row>
    <row r="109" spans="1:10" hidden="1" x14ac:dyDescent="0.3">
      <c r="A109" s="118"/>
      <c r="B109" s="127"/>
      <c r="C109" s="127"/>
      <c r="D109" s="127"/>
      <c r="E109" s="127"/>
      <c r="F109" s="127"/>
      <c r="G109" s="127"/>
      <c r="H109" s="127"/>
      <c r="I109" s="127"/>
      <c r="J109" s="130"/>
    </row>
    <row r="110" spans="1:10" hidden="1" x14ac:dyDescent="0.3">
      <c r="A110" s="118"/>
      <c r="B110" s="127"/>
      <c r="C110" s="127"/>
      <c r="D110" s="127"/>
      <c r="E110" s="127"/>
      <c r="F110" s="127"/>
      <c r="G110" s="127"/>
      <c r="H110" s="127"/>
      <c r="I110" s="127"/>
      <c r="J110" s="129"/>
    </row>
    <row r="111" spans="1:10" hidden="1" x14ac:dyDescent="0.3">
      <c r="A111" s="118" t="s">
        <v>177</v>
      </c>
      <c r="B111" s="130">
        <f>+B93*0.25+B96*0.75</f>
        <v>6.3659385771187862E-2</v>
      </c>
      <c r="C111" s="130">
        <f>+C93*0.25+C96*0.75</f>
        <v>7.6631476397233139E-2</v>
      </c>
      <c r="D111" s="130">
        <f>+D93*0.25+D96*0.75</f>
        <v>1.4978090070922987</v>
      </c>
      <c r="E111" s="130">
        <f t="shared" ref="E111:I111" si="64">+E93*0.25+E96*0.75</f>
        <v>3.8877834088609175E-3</v>
      </c>
      <c r="F111" s="130">
        <f t="shared" si="64"/>
        <v>1.2537413194201421</v>
      </c>
      <c r="G111" s="130">
        <f t="shared" si="64"/>
        <v>0.29370231817524606</v>
      </c>
      <c r="H111" s="130">
        <f t="shared" si="64"/>
        <v>0.15828880636966225</v>
      </c>
      <c r="I111" s="130">
        <f t="shared" si="64"/>
        <v>0.40691704786766908</v>
      </c>
      <c r="J111" s="130">
        <f>SUM(B111:I111)</f>
        <v>3.7546371445022997</v>
      </c>
    </row>
    <row r="112" spans="1:10" hidden="1" x14ac:dyDescent="0.3">
      <c r="A112" s="118"/>
      <c r="B112" s="127"/>
      <c r="C112" s="127"/>
      <c r="D112" s="127"/>
      <c r="E112" s="127"/>
      <c r="F112" s="127"/>
      <c r="G112" s="127"/>
      <c r="H112" s="127"/>
      <c r="I112" s="127"/>
      <c r="J112" s="130"/>
    </row>
    <row r="113" spans="1:10" hidden="1" x14ac:dyDescent="0.3">
      <c r="A113" s="118"/>
      <c r="B113" s="127"/>
      <c r="C113" s="127"/>
      <c r="D113" s="127"/>
      <c r="E113" s="127"/>
      <c r="F113" s="127"/>
      <c r="G113" s="127"/>
      <c r="H113" s="127"/>
      <c r="I113" s="127"/>
      <c r="J113" s="129"/>
    </row>
    <row r="114" spans="1:10" hidden="1" x14ac:dyDescent="0.3">
      <c r="A114" s="118" t="s">
        <v>178</v>
      </c>
      <c r="B114" s="130">
        <f t="shared" ref="B114:I114" si="65">+B96*0.25+B99*0.75+M99*0.75</f>
        <v>1.711902664581464E-2</v>
      </c>
      <c r="C114" s="130">
        <f t="shared" si="65"/>
        <v>2.0715334116857803E-2</v>
      </c>
      <c r="D114" s="130">
        <f t="shared" si="65"/>
        <v>0.40936916154687153</v>
      </c>
      <c r="E114" s="130">
        <f t="shared" si="65"/>
        <v>1.0610327862445529E-3</v>
      </c>
      <c r="F114" s="130">
        <f t="shared" si="65"/>
        <v>0.35113617326229896</v>
      </c>
      <c r="G114" s="130">
        <f t="shared" si="65"/>
        <v>8.256152700283885E-2</v>
      </c>
      <c r="H114" s="130">
        <f t="shared" si="65"/>
        <v>4.4438896890181372E-2</v>
      </c>
      <c r="I114" s="130">
        <f t="shared" si="65"/>
        <v>0.11256586797910542</v>
      </c>
      <c r="J114" s="130">
        <f>SUM(B114:I114)</f>
        <v>1.038967020230213</v>
      </c>
    </row>
    <row r="115" spans="1:10" hidden="1" x14ac:dyDescent="0.3">
      <c r="A115" s="118"/>
      <c r="B115" s="127"/>
      <c r="C115" s="127"/>
      <c r="D115" s="127"/>
      <c r="E115" s="127"/>
      <c r="F115" s="127"/>
      <c r="G115" s="127"/>
      <c r="H115" s="127"/>
      <c r="I115" s="127"/>
      <c r="J115" s="127"/>
    </row>
    <row r="116" spans="1:10" hidden="1" x14ac:dyDescent="0.3">
      <c r="A116" s="118"/>
      <c r="B116" s="127"/>
      <c r="C116" s="127"/>
      <c r="D116" s="127"/>
      <c r="E116" s="127"/>
      <c r="F116" s="127"/>
      <c r="G116" s="127"/>
      <c r="H116" s="127"/>
      <c r="I116" s="127"/>
      <c r="J116" s="127"/>
    </row>
    <row r="117" spans="1:10" hidden="1" x14ac:dyDescent="0.3">
      <c r="A117" s="118" t="s">
        <v>178</v>
      </c>
      <c r="B117" s="130">
        <f t="shared" ref="B117:I117" si="66">+B99*0.25+B102*0.75+M102*0.75</f>
        <v>0</v>
      </c>
      <c r="C117" s="130">
        <f t="shared" si="66"/>
        <v>0</v>
      </c>
      <c r="D117" s="130">
        <f t="shared" si="66"/>
        <v>0</v>
      </c>
      <c r="E117" s="130">
        <f t="shared" si="66"/>
        <v>0</v>
      </c>
      <c r="F117" s="130">
        <f t="shared" si="66"/>
        <v>0</v>
      </c>
      <c r="G117" s="130">
        <f t="shared" si="66"/>
        <v>0</v>
      </c>
      <c r="H117" s="130">
        <f t="shared" si="66"/>
        <v>0</v>
      </c>
      <c r="I117" s="130">
        <f t="shared" si="66"/>
        <v>0</v>
      </c>
      <c r="J117" s="130">
        <f>SUM(B117:I117)</f>
        <v>0</v>
      </c>
    </row>
    <row r="118" spans="1:10" hidden="1" x14ac:dyDescent="0.3">
      <c r="B118" s="127"/>
      <c r="C118" s="127"/>
      <c r="D118" s="127"/>
      <c r="E118" s="127"/>
      <c r="F118" s="127"/>
      <c r="G118" s="127"/>
      <c r="H118" s="127"/>
      <c r="I118" s="127"/>
      <c r="J118" s="127"/>
    </row>
    <row r="119" spans="1:10" x14ac:dyDescent="0.3">
      <c r="B119" s="127"/>
      <c r="C119" s="127"/>
      <c r="D119" s="127"/>
      <c r="E119" s="127"/>
      <c r="F119" s="127"/>
      <c r="G119" s="127"/>
      <c r="H119" s="127"/>
      <c r="I119" s="127"/>
      <c r="J119" s="127"/>
    </row>
    <row r="120" spans="1:10" x14ac:dyDescent="0.3">
      <c r="B120" s="127"/>
      <c r="C120" s="127"/>
      <c r="D120" s="127"/>
      <c r="E120" s="127"/>
      <c r="F120" s="127"/>
      <c r="G120" s="127"/>
      <c r="H120" s="127"/>
      <c r="I120" s="127"/>
      <c r="J120" s="127"/>
    </row>
    <row r="121" spans="1:10" x14ac:dyDescent="0.3">
      <c r="B121" s="127"/>
      <c r="C121" s="127"/>
      <c r="D121" s="127"/>
      <c r="E121" s="127"/>
      <c r="F121" s="127"/>
      <c r="G121" s="127"/>
      <c r="H121" s="127"/>
      <c r="I121" s="127"/>
      <c r="J121" s="127"/>
    </row>
    <row r="122" spans="1:10" x14ac:dyDescent="0.3">
      <c r="B122" s="127"/>
      <c r="C122" s="127"/>
      <c r="D122" s="127"/>
      <c r="E122" s="127"/>
      <c r="F122" s="127"/>
      <c r="G122" s="127"/>
      <c r="H122" s="127"/>
      <c r="I122" s="127"/>
      <c r="J122" s="127"/>
    </row>
  </sheetData>
  <sheetProtection algorithmName="SHA-512" hashValue="hGyjHXP9v1flGrVnrNFAO56RG5yVPyZN9kjawp7mDCWNZomD8QazZFiMmsmuFTXKOw1XPD0uJfRofb5F2Ea9sQ==" saltValue="uV0JFTB0+xPDIQlqcIer+w==" spinCount="100000" sheet="1" objects="1" scenarios="1"/>
  <mergeCells count="9">
    <mergeCell ref="U42:V42"/>
    <mergeCell ref="U35:W35"/>
    <mergeCell ref="U32:X32"/>
    <mergeCell ref="U36:W36"/>
    <mergeCell ref="V17:W17"/>
    <mergeCell ref="U34:W34"/>
    <mergeCell ref="U38:W38"/>
    <mergeCell ref="U39:W39"/>
    <mergeCell ref="U40:W40"/>
  </mergeCells>
  <phoneticPr fontId="4"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B453-4107-43F0-8268-F9CF4F615196}">
  <dimension ref="A1:G60"/>
  <sheetViews>
    <sheetView topLeftCell="A28" workbookViewId="0">
      <selection activeCell="C58" sqref="C58"/>
    </sheetView>
  </sheetViews>
  <sheetFormatPr defaultRowHeight="14.4" x14ac:dyDescent="0.3"/>
  <cols>
    <col min="1" max="1" width="32.77734375" customWidth="1"/>
    <col min="2" max="2" width="18" bestFit="1" customWidth="1"/>
    <col min="3" max="4" width="19" bestFit="1" customWidth="1"/>
    <col min="5" max="5" width="18" bestFit="1" customWidth="1"/>
  </cols>
  <sheetData>
    <row r="1" spans="1:5" x14ac:dyDescent="0.3">
      <c r="A1" s="125"/>
      <c r="B1" s="125"/>
      <c r="C1" s="91" t="s">
        <v>120</v>
      </c>
      <c r="D1" s="92" t="s">
        <v>95</v>
      </c>
      <c r="E1" t="s">
        <v>181</v>
      </c>
    </row>
    <row r="2" spans="1:5" x14ac:dyDescent="0.3">
      <c r="A2" s="125" t="s">
        <v>121</v>
      </c>
      <c r="B2" s="92" t="s">
        <v>96</v>
      </c>
      <c r="C2" s="125" t="s">
        <v>122</v>
      </c>
      <c r="D2" s="125"/>
    </row>
    <row r="3" spans="1:5" x14ac:dyDescent="0.3">
      <c r="A3" s="125" t="s">
        <v>124</v>
      </c>
      <c r="B3" s="92" t="s">
        <v>97</v>
      </c>
      <c r="C3" s="125" t="s">
        <v>98</v>
      </c>
      <c r="D3" s="93">
        <v>4.9200000000000001E-2</v>
      </c>
      <c r="E3" s="3">
        <v>1</v>
      </c>
    </row>
    <row r="4" spans="1:5" x14ac:dyDescent="0.3">
      <c r="A4" s="125" t="s">
        <v>126</v>
      </c>
      <c r="B4" s="92" t="s">
        <v>99</v>
      </c>
      <c r="C4" s="125" t="s">
        <v>100</v>
      </c>
      <c r="D4" s="93">
        <v>4.0599999999999997E-2</v>
      </c>
      <c r="E4" s="3">
        <f>E3*(1+D4)</f>
        <v>1.0406</v>
      </c>
    </row>
    <row r="5" spans="1:5" x14ac:dyDescent="0.3">
      <c r="A5" s="125" t="s">
        <v>128</v>
      </c>
      <c r="B5" s="92" t="s">
        <v>101</v>
      </c>
      <c r="C5" s="125" t="s">
        <v>102</v>
      </c>
      <c r="D5" s="93">
        <v>4.8000000000000001E-2</v>
      </c>
      <c r="E5" s="3">
        <f t="shared" ref="E5" si="0">E4*(1+D5)</f>
        <v>1.0905488000000001</v>
      </c>
    </row>
    <row r="6" spans="1:5" x14ac:dyDescent="0.3">
      <c r="A6" s="125" t="s">
        <v>130</v>
      </c>
      <c r="B6" s="92" t="s">
        <v>103</v>
      </c>
      <c r="C6" s="125" t="s">
        <v>104</v>
      </c>
      <c r="D6" s="93">
        <v>4.7800000000000002E-2</v>
      </c>
      <c r="E6" s="3"/>
    </row>
    <row r="7" spans="1:5" x14ac:dyDescent="0.3">
      <c r="A7" s="125"/>
      <c r="B7" s="92" t="s">
        <v>105</v>
      </c>
      <c r="C7" s="125"/>
      <c r="D7" s="93">
        <v>4.7800000000000002E-2</v>
      </c>
      <c r="E7" s="3"/>
    </row>
    <row r="8" spans="1:5" x14ac:dyDescent="0.3">
      <c r="E8" s="84"/>
    </row>
    <row r="9" spans="1:5" x14ac:dyDescent="0.3">
      <c r="A9" t="s">
        <v>207</v>
      </c>
      <c r="E9" s="84"/>
    </row>
    <row r="10" spans="1:5" x14ac:dyDescent="0.3">
      <c r="A10" s="117"/>
      <c r="B10" s="117" t="s">
        <v>182</v>
      </c>
      <c r="C10" s="117" t="s">
        <v>183</v>
      </c>
      <c r="D10" s="117" t="s">
        <v>208</v>
      </c>
      <c r="E10" s="117" t="s">
        <v>209</v>
      </c>
    </row>
    <row r="11" spans="1:5" x14ac:dyDescent="0.3">
      <c r="A11" s="117" t="s">
        <v>184</v>
      </c>
      <c r="B11" s="116">
        <v>1250120694</v>
      </c>
      <c r="C11" s="116">
        <v>80581221</v>
      </c>
      <c r="D11" s="116">
        <v>1169539473</v>
      </c>
      <c r="E11" s="116">
        <f>+D11*E5</f>
        <v>1275439868.8327825</v>
      </c>
    </row>
    <row r="12" spans="1:5" x14ac:dyDescent="0.3">
      <c r="A12" s="117" t="s">
        <v>185</v>
      </c>
      <c r="B12" s="131">
        <v>48585856</v>
      </c>
      <c r="C12" s="131">
        <v>2564562</v>
      </c>
      <c r="D12" s="131">
        <v>46021294</v>
      </c>
      <c r="E12" s="131">
        <f>+D12</f>
        <v>46021294</v>
      </c>
    </row>
    <row r="13" spans="1:5" x14ac:dyDescent="0.3">
      <c r="A13" s="117" t="s">
        <v>186</v>
      </c>
      <c r="B13" s="117"/>
      <c r="C13" s="117"/>
      <c r="D13" s="111">
        <f>+D11/D12</f>
        <v>25.41300713969494</v>
      </c>
      <c r="E13" s="111">
        <f t="shared" ref="E13" si="1">+E11/E12</f>
        <v>27.714124440585753</v>
      </c>
    </row>
    <row r="14" spans="1:5" x14ac:dyDescent="0.3">
      <c r="A14" s="117" t="s">
        <v>187</v>
      </c>
      <c r="B14" s="117"/>
      <c r="C14" s="117"/>
      <c r="D14" s="132">
        <v>1.1501381283207719</v>
      </c>
      <c r="E14" s="132">
        <f>+D14</f>
        <v>1.1501381283207719</v>
      </c>
    </row>
    <row r="15" spans="1:5" x14ac:dyDescent="0.3">
      <c r="A15" s="117" t="s">
        <v>188</v>
      </c>
      <c r="B15" s="117"/>
      <c r="C15" s="117"/>
      <c r="D15" s="111">
        <f>+D13/D14</f>
        <v>22.095613138917944</v>
      </c>
      <c r="E15" s="111">
        <f t="shared" ref="E15" si="2">+E13/E14</f>
        <v>24.096344393911199</v>
      </c>
    </row>
    <row r="16" spans="1:5" x14ac:dyDescent="0.3">
      <c r="A16" s="117"/>
      <c r="B16" s="117"/>
      <c r="C16" s="117"/>
      <c r="D16" s="111"/>
      <c r="E16" s="111"/>
    </row>
    <row r="17" spans="1:5" x14ac:dyDescent="0.3">
      <c r="A17" s="117" t="s">
        <v>198</v>
      </c>
      <c r="B17" s="116">
        <v>141582386.49545828</v>
      </c>
      <c r="C17" s="116">
        <f>+C11*B18</f>
        <v>9126224.0763274152</v>
      </c>
      <c r="D17" s="116">
        <f>+B17-C17</f>
        <v>132456162.41913086</v>
      </c>
      <c r="E17" s="116">
        <f>+D17*E5</f>
        <v>144449908.97878826</v>
      </c>
    </row>
    <row r="18" spans="1:5" x14ac:dyDescent="0.3">
      <c r="A18" s="117" t="s">
        <v>210</v>
      </c>
      <c r="B18" s="112">
        <f>+B17/B11</f>
        <v>0.11325497383971653</v>
      </c>
      <c r="C18" s="112">
        <f t="shared" ref="C18:E18" si="3">+C17/C11</f>
        <v>0.11325497383971651</v>
      </c>
      <c r="D18" s="112">
        <f t="shared" si="3"/>
        <v>0.11325497383971653</v>
      </c>
      <c r="E18" s="112">
        <f t="shared" si="3"/>
        <v>0.11325497383971653</v>
      </c>
    </row>
    <row r="19" spans="1:5" x14ac:dyDescent="0.3">
      <c r="A19" s="117"/>
      <c r="B19" s="112"/>
      <c r="C19" s="112"/>
      <c r="D19" s="112"/>
      <c r="E19" s="112"/>
    </row>
    <row r="20" spans="1:5" x14ac:dyDescent="0.3">
      <c r="A20" s="133" t="s">
        <v>211</v>
      </c>
      <c r="B20" s="134"/>
      <c r="C20" s="134"/>
      <c r="D20" s="134"/>
      <c r="E20" s="135">
        <f>+E11+E17</f>
        <v>1419889777.8115706</v>
      </c>
    </row>
    <row r="22" spans="1:5" x14ac:dyDescent="0.3">
      <c r="A22" t="s">
        <v>212</v>
      </c>
    </row>
    <row r="23" spans="1:5" x14ac:dyDescent="0.3">
      <c r="A23" s="123" t="s">
        <v>189</v>
      </c>
      <c r="B23" s="123"/>
      <c r="C23" s="123"/>
      <c r="D23" s="123">
        <v>365</v>
      </c>
      <c r="E23" s="123">
        <v>365</v>
      </c>
    </row>
    <row r="24" spans="1:5" x14ac:dyDescent="0.3">
      <c r="A24" s="123" t="s">
        <v>190</v>
      </c>
      <c r="B24" s="123"/>
      <c r="C24" s="123"/>
      <c r="D24" s="104">
        <f>+D12/D23</f>
        <v>126085.73698630137</v>
      </c>
      <c r="E24" s="104">
        <f>+E12/E23</f>
        <v>126085.73698630137</v>
      </c>
    </row>
    <row r="25" spans="1:5" x14ac:dyDescent="0.3">
      <c r="A25" s="123" t="s">
        <v>191</v>
      </c>
      <c r="B25" s="123"/>
      <c r="C25" s="123"/>
      <c r="D25" s="123">
        <v>5.5</v>
      </c>
      <c r="E25" s="123">
        <v>5.5</v>
      </c>
    </row>
    <row r="26" spans="1:5" x14ac:dyDescent="0.3">
      <c r="A26" s="123" t="s">
        <v>192</v>
      </c>
      <c r="B26" s="123"/>
      <c r="C26" s="123"/>
      <c r="D26" s="104">
        <f>+D24*D25</f>
        <v>693471.55342465756</v>
      </c>
      <c r="E26" s="104">
        <f t="shared" ref="E26" si="4">+E24*E25</f>
        <v>693471.55342465756</v>
      </c>
    </row>
    <row r="27" spans="1:5" x14ac:dyDescent="0.3">
      <c r="A27" s="123" t="s">
        <v>197</v>
      </c>
      <c r="B27" s="123"/>
      <c r="C27" s="123"/>
      <c r="D27" s="123"/>
      <c r="E27" s="103">
        <f>+B18</f>
        <v>0.11325497383971653</v>
      </c>
    </row>
    <row r="28" spans="1:5" x14ac:dyDescent="0.3">
      <c r="A28" s="136" t="s">
        <v>213</v>
      </c>
      <c r="B28" s="136"/>
      <c r="C28" s="136"/>
      <c r="D28" s="136"/>
      <c r="E28" s="137">
        <f>+E15*E26*0.5*(1+E27)</f>
        <v>9301317.3221721072</v>
      </c>
    </row>
    <row r="29" spans="1:5" x14ac:dyDescent="0.3">
      <c r="A29" s="123"/>
      <c r="B29" s="123"/>
      <c r="C29" s="123"/>
      <c r="D29" s="123"/>
      <c r="E29" s="123"/>
    </row>
    <row r="30" spans="1:5" x14ac:dyDescent="0.3">
      <c r="A30" s="123" t="s">
        <v>211</v>
      </c>
      <c r="B30" s="123"/>
      <c r="C30" s="123"/>
      <c r="D30" s="123"/>
      <c r="E30" s="108">
        <v>1419889777.8115706</v>
      </c>
    </row>
    <row r="31" spans="1:5" x14ac:dyDescent="0.3">
      <c r="A31" s="123" t="s">
        <v>213</v>
      </c>
      <c r="B31" s="123"/>
      <c r="C31" s="123"/>
      <c r="D31" s="123"/>
      <c r="E31" s="108">
        <v>9301317.3221721072</v>
      </c>
    </row>
    <row r="32" spans="1:5" x14ac:dyDescent="0.3">
      <c r="A32" s="123" t="s">
        <v>214</v>
      </c>
      <c r="B32" s="108"/>
      <c r="C32" s="123"/>
      <c r="D32" s="138"/>
      <c r="E32" s="138">
        <f>+E28/(E11+E17)</f>
        <v>6.55073194238212E-3</v>
      </c>
    </row>
    <row r="33" spans="1:7" x14ac:dyDescent="0.3">
      <c r="A33" s="123" t="s">
        <v>193</v>
      </c>
      <c r="B33" s="123"/>
      <c r="C33" s="123"/>
      <c r="D33" s="108">
        <v>41545844.048700638</v>
      </c>
      <c r="E33" s="108">
        <f>+D33*E5</f>
        <v>45307770.37229763</v>
      </c>
    </row>
    <row r="34" spans="1:7" x14ac:dyDescent="0.3">
      <c r="A34" s="123" t="s">
        <v>199</v>
      </c>
      <c r="B34" s="123"/>
      <c r="C34" s="123"/>
      <c r="D34" s="123"/>
      <c r="E34" s="108">
        <f>+E33*E32</f>
        <v>296799.05861592432</v>
      </c>
    </row>
    <row r="35" spans="1:7" x14ac:dyDescent="0.3">
      <c r="A35" s="123"/>
      <c r="B35" s="123"/>
      <c r="C35" s="123"/>
      <c r="D35" s="123"/>
      <c r="E35" s="108"/>
    </row>
    <row r="36" spans="1:7" x14ac:dyDescent="0.3">
      <c r="A36" s="136" t="s">
        <v>215</v>
      </c>
      <c r="B36" s="137"/>
      <c r="C36" s="136"/>
      <c r="D36" s="137"/>
      <c r="E36" s="137">
        <f>+E28+E34</f>
        <v>9598116.380788032</v>
      </c>
    </row>
    <row r="38" spans="1:7" x14ac:dyDescent="0.3">
      <c r="A38" t="s">
        <v>216</v>
      </c>
    </row>
    <row r="39" spans="1:7" x14ac:dyDescent="0.3">
      <c r="A39" s="118" t="s">
        <v>194</v>
      </c>
      <c r="B39" s="118"/>
      <c r="C39" s="118"/>
      <c r="D39" s="118"/>
      <c r="E39" s="139">
        <v>6850988</v>
      </c>
    </row>
    <row r="40" spans="1:7" x14ac:dyDescent="0.3">
      <c r="A40" s="118" t="s">
        <v>195</v>
      </c>
      <c r="B40" s="118"/>
      <c r="C40" s="118"/>
      <c r="D40" s="118"/>
      <c r="E40" s="119">
        <f>+E36/E39</f>
        <v>1.4009828043470565</v>
      </c>
    </row>
    <row r="41" spans="1:7" x14ac:dyDescent="0.3">
      <c r="A41" s="118" t="s">
        <v>196</v>
      </c>
      <c r="B41" s="118"/>
      <c r="C41" s="118"/>
      <c r="D41" s="118"/>
      <c r="E41" s="139">
        <v>3746114.8917382928</v>
      </c>
    </row>
    <row r="42" spans="1:7" x14ac:dyDescent="0.3">
      <c r="A42" s="118" t="s">
        <v>217</v>
      </c>
      <c r="B42" s="118"/>
      <c r="C42" s="118"/>
      <c r="D42" s="140"/>
      <c r="E42" s="141">
        <f>+E40*E41</f>
        <v>5248242.5464337831</v>
      </c>
    </row>
    <row r="43" spans="1:7" x14ac:dyDescent="0.3">
      <c r="A43" s="118"/>
      <c r="B43" s="142"/>
      <c r="C43" s="118"/>
      <c r="D43" s="118"/>
      <c r="E43" s="142"/>
    </row>
    <row r="44" spans="1:7" x14ac:dyDescent="0.3">
      <c r="A44" s="118" t="s">
        <v>211</v>
      </c>
      <c r="B44" s="142"/>
      <c r="C44" s="118"/>
      <c r="D44" s="118"/>
      <c r="E44" s="141">
        <f>+E30</f>
        <v>1419889777.8115706</v>
      </c>
    </row>
    <row r="45" spans="1:7" x14ac:dyDescent="0.3">
      <c r="A45" s="118" t="s">
        <v>194</v>
      </c>
      <c r="B45" s="118"/>
      <c r="C45" s="118"/>
      <c r="D45" s="118"/>
      <c r="E45" s="139">
        <v>6850988</v>
      </c>
      <c r="G45" s="7"/>
    </row>
    <row r="46" spans="1:7" x14ac:dyDescent="0.3">
      <c r="A46" s="118" t="s">
        <v>195</v>
      </c>
      <c r="B46" s="118"/>
      <c r="C46" s="118"/>
      <c r="D46" s="118"/>
      <c r="E46" s="119">
        <f>+E44/E45</f>
        <v>207.2532863598025</v>
      </c>
    </row>
    <row r="47" spans="1:7" x14ac:dyDescent="0.3">
      <c r="A47" s="118" t="s">
        <v>196</v>
      </c>
      <c r="B47" s="118"/>
      <c r="C47" s="118"/>
      <c r="D47" s="118"/>
      <c r="E47" s="139">
        <v>3746114.8917382928</v>
      </c>
    </row>
    <row r="48" spans="1:7" x14ac:dyDescent="0.3">
      <c r="A48" s="118" t="s">
        <v>218</v>
      </c>
      <c r="B48" s="118"/>
      <c r="C48" s="118"/>
      <c r="D48" s="140"/>
      <c r="E48" s="141">
        <f>+E46*E47</f>
        <v>776394622.39415693</v>
      </c>
      <c r="G48" s="7"/>
    </row>
    <row r="49" spans="1:7" x14ac:dyDescent="0.3">
      <c r="A49" s="118"/>
      <c r="B49" s="118"/>
      <c r="C49" s="118"/>
      <c r="D49" s="118"/>
      <c r="E49" s="118"/>
    </row>
    <row r="50" spans="1:7" x14ac:dyDescent="0.3">
      <c r="A50" s="143" t="s">
        <v>219</v>
      </c>
      <c r="B50" s="144"/>
      <c r="C50" s="143"/>
      <c r="D50" s="143"/>
      <c r="E50" s="145">
        <f>+E42/E48</f>
        <v>6.7597615890870712E-3</v>
      </c>
    </row>
    <row r="51" spans="1:7" x14ac:dyDescent="0.3">
      <c r="B51" s="7"/>
      <c r="E51" s="7"/>
      <c r="G51" s="7"/>
    </row>
    <row r="52" spans="1:7" x14ac:dyDescent="0.3">
      <c r="A52" s="175" t="s">
        <v>276</v>
      </c>
    </row>
    <row r="53" spans="1:7" x14ac:dyDescent="0.3">
      <c r="B53" s="10"/>
      <c r="E53" s="10"/>
    </row>
    <row r="54" spans="1:7" x14ac:dyDescent="0.3">
      <c r="B54" s="7"/>
      <c r="E54" s="7"/>
      <c r="G54" s="7"/>
    </row>
    <row r="56" spans="1:7" x14ac:dyDescent="0.3">
      <c r="B56" s="10"/>
      <c r="E56" s="10"/>
    </row>
    <row r="57" spans="1:7" x14ac:dyDescent="0.3">
      <c r="B57" s="7"/>
      <c r="E57" s="7"/>
    </row>
    <row r="59" spans="1:7" x14ac:dyDescent="0.3">
      <c r="B59" s="10"/>
      <c r="E59" s="10"/>
    </row>
    <row r="60" spans="1:7" x14ac:dyDescent="0.3">
      <c r="B60" s="7"/>
      <c r="E60" s="7"/>
    </row>
  </sheetData>
  <sheetProtection algorithmName="SHA-512" hashValue="an45AcoSwlBg1j+utIdYvPMZZKPe9P8rgsO/doGG8P2JRAe+1vHxLvmEiz1kVYaqDcISn1+ienC8UZDsJEx9cQ==" saltValue="qA7mbNjZyCY3NB9PSB+/Ww==" spinCount="100000" sheet="1" objects="1" scenarios="1"/>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B922-4CF1-44F7-BEA5-30F252AC0FB8}">
  <dimension ref="A1"/>
  <sheetViews>
    <sheetView workbookViewId="0">
      <selection activeCell="L17" sqref="L17"/>
    </sheetView>
  </sheetViews>
  <sheetFormatPr defaultRowHeight="14.4" x14ac:dyDescent="0.3"/>
  <sheetData>
    <row r="1" spans="1:1" x14ac:dyDescent="0.3">
      <c r="A1" t="s">
        <v>220</v>
      </c>
    </row>
  </sheetData>
  <sheetProtection algorithmName="SHA-512" hashValue="w0JBKfwnj77VbEWbFCMPN5qt7uox51yTPn/9N/NyxjmFiWekvNlhkN9lH39c7h64jUT/9GCQTmKYE5wfF/KOxQ==" saltValue="owREvPxzPsJTpSs5i4D3xg=="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3130D-46CC-42E5-BA31-C45E3530CFBE}">
  <dimension ref="A1"/>
  <sheetViews>
    <sheetView workbookViewId="0">
      <selection activeCell="L31" sqref="L31"/>
    </sheetView>
  </sheetViews>
  <sheetFormatPr defaultRowHeight="14.4" x14ac:dyDescent="0.3"/>
  <sheetData/>
  <sheetProtection algorithmName="SHA-512" hashValue="X+wVjsfhkWIvtmX2dFS120ZbyOA1IRv/Nuc31/4nO3KXNBYuS2oYrTPlc+9UsErYMH/ubrdX8CLZbaCKP2nG/w==" saltValue="1U7zY6kEO6HSudNfMbkRkw=="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8F089-3F34-416E-96E3-29B06DB3B9B1}">
  <dimension ref="C1:L9"/>
  <sheetViews>
    <sheetView workbookViewId="0">
      <selection activeCell="I27" sqref="I27"/>
    </sheetView>
  </sheetViews>
  <sheetFormatPr defaultRowHeight="14.4" x14ac:dyDescent="0.3"/>
  <cols>
    <col min="3" max="3" width="41.77734375" bestFit="1" customWidth="1"/>
    <col min="4" max="5" width="7.44140625" bestFit="1" customWidth="1"/>
    <col min="6" max="6" width="10.5546875" bestFit="1" customWidth="1"/>
    <col min="7" max="8" width="11.5546875" bestFit="1" customWidth="1"/>
    <col min="9" max="9" width="9" bestFit="1" customWidth="1"/>
    <col min="10" max="11" width="10.5546875" bestFit="1" customWidth="1"/>
    <col min="12" max="12" width="11.5546875" bestFit="1" customWidth="1"/>
  </cols>
  <sheetData>
    <row r="1" spans="3:12" x14ac:dyDescent="0.3">
      <c r="C1" s="74" t="s">
        <v>106</v>
      </c>
    </row>
    <row r="3" spans="3:12" ht="15.6" x14ac:dyDescent="0.3">
      <c r="C3" s="183" t="s">
        <v>107</v>
      </c>
      <c r="D3" s="183"/>
      <c r="E3" s="183"/>
      <c r="F3" s="183"/>
      <c r="G3" s="183"/>
      <c r="H3" s="79"/>
    </row>
    <row r="5" spans="3:12" x14ac:dyDescent="0.3">
      <c r="C5" s="80" t="s">
        <v>108</v>
      </c>
      <c r="D5" s="81" t="s">
        <v>109</v>
      </c>
      <c r="E5" s="81" t="s">
        <v>49</v>
      </c>
      <c r="F5" s="81" t="s">
        <v>50</v>
      </c>
      <c r="G5" s="81" t="s">
        <v>84</v>
      </c>
      <c r="H5" s="81" t="s">
        <v>110</v>
      </c>
      <c r="I5" s="81" t="s">
        <v>179</v>
      </c>
      <c r="J5" s="81" t="s">
        <v>180</v>
      </c>
      <c r="K5" s="81"/>
      <c r="L5" s="81"/>
    </row>
    <row r="6" spans="3:12" x14ac:dyDescent="0.3">
      <c r="C6" s="82"/>
      <c r="D6" s="83"/>
      <c r="E6" s="83"/>
      <c r="F6" s="83"/>
      <c r="G6" s="83"/>
      <c r="H6" s="83"/>
      <c r="I6" s="83"/>
      <c r="J6" s="83"/>
      <c r="K6" s="83"/>
      <c r="L6" s="83"/>
    </row>
    <row r="8" spans="3:12" x14ac:dyDescent="0.3">
      <c r="D8" s="81"/>
      <c r="E8" s="81"/>
      <c r="F8" s="81" t="s">
        <v>50</v>
      </c>
      <c r="G8" s="81" t="s">
        <v>84</v>
      </c>
      <c r="H8" s="81" t="s">
        <v>110</v>
      </c>
      <c r="I8" s="81" t="s">
        <v>179</v>
      </c>
      <c r="J8" s="81" t="s">
        <v>180</v>
      </c>
      <c r="K8" s="81"/>
      <c r="L8" s="81"/>
    </row>
    <row r="9" spans="3:12" x14ac:dyDescent="0.3">
      <c r="C9" s="82" t="s">
        <v>111</v>
      </c>
      <c r="D9" s="2"/>
      <c r="E9" s="2"/>
      <c r="F9" s="2">
        <v>0</v>
      </c>
      <c r="G9" s="2">
        <v>0</v>
      </c>
      <c r="H9" s="2">
        <v>0</v>
      </c>
      <c r="I9" s="2">
        <v>315.36027051118293</v>
      </c>
      <c r="J9" s="2">
        <v>1051.1278380656297</v>
      </c>
      <c r="K9" s="2"/>
      <c r="L9" s="2"/>
    </row>
  </sheetData>
  <sheetProtection algorithmName="SHA-512" hashValue="ME9G09PNdy8wseOhHu5Z+wwvPzCCx0wd524pIQS7zSYLH0xNzTHTvowj3ot/sBu6XjMxxLD+8i0OFqmWfFaBIA==" saltValue="CZIpIy/v2DyK6m8sqVHJUg==" spinCount="100000" sheet="1" objects="1" scenarios="1"/>
  <mergeCells count="1">
    <mergeCell ref="C3:G3"/>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71AE-12C1-4EF7-91BB-24021B11AA59}">
  <dimension ref="A1:H391"/>
  <sheetViews>
    <sheetView workbookViewId="0"/>
  </sheetViews>
  <sheetFormatPr defaultColWidth="9.21875" defaultRowHeight="14.4" x14ac:dyDescent="0.3"/>
  <cols>
    <col min="1" max="1" width="9.21875" style="4" bestFit="1" customWidth="1"/>
    <col min="2" max="2" width="10" style="4" bestFit="1" customWidth="1"/>
    <col min="3" max="3" width="12" style="4" bestFit="1" customWidth="1"/>
    <col min="4" max="8" width="9.21875" style="4" bestFit="1" customWidth="1"/>
    <col min="9" max="16384" width="9.21875" style="4"/>
  </cols>
  <sheetData>
    <row r="1" spans="1:8" x14ac:dyDescent="0.3">
      <c r="B1" s="4">
        <v>7</v>
      </c>
      <c r="C1" s="4">
        <v>31</v>
      </c>
      <c r="D1" s="4">
        <v>23</v>
      </c>
      <c r="F1" s="4">
        <v>43</v>
      </c>
      <c r="G1" s="4">
        <v>39</v>
      </c>
    </row>
    <row r="2" spans="1:8" x14ac:dyDescent="0.3">
      <c r="B2" s="4" t="s">
        <v>1</v>
      </c>
      <c r="D2" s="4" t="s">
        <v>2</v>
      </c>
      <c r="G2" s="4" t="s">
        <v>3</v>
      </c>
    </row>
    <row r="5" spans="1:8" x14ac:dyDescent="0.3">
      <c r="B5" s="4" t="s">
        <v>0</v>
      </c>
      <c r="C5" s="4" t="s">
        <v>4</v>
      </c>
      <c r="D5" s="4" t="s">
        <v>5</v>
      </c>
      <c r="F5" s="4" t="s">
        <v>6</v>
      </c>
      <c r="G5" s="4" t="s">
        <v>5</v>
      </c>
    </row>
    <row r="6" spans="1:8" x14ac:dyDescent="0.3">
      <c r="B6" s="4" t="s">
        <v>7</v>
      </c>
      <c r="C6" s="4" t="s">
        <v>8</v>
      </c>
      <c r="D6" s="4" t="s">
        <v>9</v>
      </c>
      <c r="F6" s="4" t="s">
        <v>10</v>
      </c>
      <c r="G6" s="4" t="s">
        <v>11</v>
      </c>
    </row>
    <row r="7" spans="1:8" x14ac:dyDescent="0.3">
      <c r="A7" s="4">
        <v>814</v>
      </c>
      <c r="B7" s="4">
        <v>1394710</v>
      </c>
      <c r="C7" s="4">
        <v>425972</v>
      </c>
      <c r="D7" s="4">
        <v>0</v>
      </c>
      <c r="E7" s="4">
        <v>425972</v>
      </c>
      <c r="F7" s="4">
        <v>151081</v>
      </c>
      <c r="G7" s="4">
        <v>0</v>
      </c>
      <c r="H7" s="4">
        <v>151081</v>
      </c>
    </row>
    <row r="8" spans="1:8" x14ac:dyDescent="0.3">
      <c r="A8" s="4">
        <v>567</v>
      </c>
      <c r="B8" s="4">
        <v>1517483</v>
      </c>
      <c r="C8" s="4">
        <v>714708</v>
      </c>
      <c r="D8" s="4">
        <v>-9216</v>
      </c>
      <c r="E8" s="4">
        <v>723924</v>
      </c>
      <c r="F8" s="4">
        <v>155558</v>
      </c>
      <c r="G8" s="4">
        <v>-5196</v>
      </c>
      <c r="H8" s="4">
        <v>150362</v>
      </c>
    </row>
    <row r="9" spans="1:8" x14ac:dyDescent="0.3">
      <c r="A9" s="4">
        <v>249</v>
      </c>
      <c r="B9" s="4">
        <v>697506</v>
      </c>
      <c r="C9" s="4">
        <v>263459</v>
      </c>
      <c r="D9" s="4">
        <v>0</v>
      </c>
      <c r="E9" s="4">
        <v>263459</v>
      </c>
      <c r="F9" s="4">
        <v>0</v>
      </c>
      <c r="G9" s="4">
        <v>0</v>
      </c>
      <c r="H9" s="4">
        <v>0</v>
      </c>
    </row>
    <row r="10" spans="1:8" x14ac:dyDescent="0.3">
      <c r="A10" s="4">
        <v>967</v>
      </c>
      <c r="B10" s="4">
        <v>668095</v>
      </c>
      <c r="C10" s="4">
        <v>233015</v>
      </c>
      <c r="D10" s="4">
        <v>0</v>
      </c>
      <c r="E10" s="4">
        <v>233015</v>
      </c>
      <c r="F10" s="4">
        <v>0</v>
      </c>
      <c r="G10" s="4">
        <v>0</v>
      </c>
      <c r="H10" s="4">
        <v>0</v>
      </c>
    </row>
    <row r="11" spans="1:8" x14ac:dyDescent="0.3">
      <c r="A11" s="4">
        <v>506</v>
      </c>
      <c r="B11" s="4">
        <v>1862996</v>
      </c>
      <c r="C11" s="4">
        <v>596165</v>
      </c>
      <c r="D11" s="4">
        <v>18484</v>
      </c>
      <c r="E11" s="4">
        <v>577681</v>
      </c>
      <c r="F11" s="4">
        <v>315889</v>
      </c>
      <c r="G11" s="4">
        <v>10359</v>
      </c>
      <c r="H11" s="4">
        <v>326248</v>
      </c>
    </row>
    <row r="12" spans="1:8" x14ac:dyDescent="0.3">
      <c r="A12" s="4">
        <v>788</v>
      </c>
      <c r="B12" s="4">
        <v>359751</v>
      </c>
      <c r="C12" s="4">
        <v>170714</v>
      </c>
      <c r="D12" s="4">
        <v>0</v>
      </c>
      <c r="E12" s="4">
        <v>170714</v>
      </c>
      <c r="F12" s="4">
        <v>0</v>
      </c>
      <c r="G12" s="4">
        <v>0</v>
      </c>
      <c r="H12" s="4">
        <v>0</v>
      </c>
    </row>
    <row r="13" spans="1:8" x14ac:dyDescent="0.3">
      <c r="A13" s="4">
        <v>399</v>
      </c>
      <c r="B13" s="4">
        <v>680751</v>
      </c>
      <c r="C13" s="4">
        <v>375639</v>
      </c>
      <c r="D13" s="4">
        <v>-6070</v>
      </c>
      <c r="E13" s="4">
        <v>381709</v>
      </c>
      <c r="F13" s="4">
        <v>88269</v>
      </c>
      <c r="G13" s="4">
        <v>1825</v>
      </c>
      <c r="H13" s="4">
        <v>90094</v>
      </c>
    </row>
    <row r="14" spans="1:8" x14ac:dyDescent="0.3">
      <c r="A14" s="4">
        <v>529</v>
      </c>
      <c r="B14" s="4">
        <v>935918</v>
      </c>
      <c r="C14" s="4">
        <v>326219</v>
      </c>
      <c r="D14" s="4">
        <v>0</v>
      </c>
      <c r="E14" s="4">
        <v>326219</v>
      </c>
      <c r="F14" s="4">
        <v>108741</v>
      </c>
      <c r="G14" s="4">
        <v>0</v>
      </c>
      <c r="H14" s="4">
        <v>108741</v>
      </c>
    </row>
    <row r="15" spans="1:8" x14ac:dyDescent="0.3">
      <c r="A15" s="4">
        <v>912</v>
      </c>
      <c r="B15" s="4">
        <v>2308996</v>
      </c>
      <c r="C15" s="4">
        <v>519443</v>
      </c>
      <c r="D15" s="4">
        <v>-2929</v>
      </c>
      <c r="E15" s="4">
        <v>522372</v>
      </c>
      <c r="F15" s="4">
        <v>253132</v>
      </c>
      <c r="G15" s="4">
        <v>-810</v>
      </c>
      <c r="H15" s="4">
        <v>252322</v>
      </c>
    </row>
    <row r="16" spans="1:8" x14ac:dyDescent="0.3">
      <c r="A16" s="4">
        <v>916</v>
      </c>
      <c r="B16" s="4">
        <v>2726954</v>
      </c>
      <c r="C16" s="4">
        <v>840527</v>
      </c>
      <c r="D16" s="4">
        <v>0</v>
      </c>
      <c r="E16" s="4">
        <v>840527</v>
      </c>
      <c r="F16" s="4">
        <v>539350</v>
      </c>
      <c r="G16" s="4">
        <v>0</v>
      </c>
      <c r="H16" s="4">
        <v>539350</v>
      </c>
    </row>
    <row r="17" spans="1:8" x14ac:dyDescent="0.3">
      <c r="A17" s="4">
        <v>497</v>
      </c>
      <c r="B17" s="4">
        <v>1590507</v>
      </c>
      <c r="C17" s="4">
        <v>331480</v>
      </c>
      <c r="D17" s="4">
        <v>-306</v>
      </c>
      <c r="E17" s="4">
        <v>331786</v>
      </c>
      <c r="F17" s="4">
        <v>277504</v>
      </c>
      <c r="G17" s="4">
        <v>-4402</v>
      </c>
      <c r="H17" s="4">
        <v>273102</v>
      </c>
    </row>
    <row r="18" spans="1:8" x14ac:dyDescent="0.3">
      <c r="A18" s="4">
        <v>449</v>
      </c>
      <c r="B18" s="4">
        <v>1125960</v>
      </c>
      <c r="C18" s="4">
        <v>296956</v>
      </c>
      <c r="D18" s="4">
        <v>0</v>
      </c>
      <c r="E18" s="4">
        <v>296956</v>
      </c>
      <c r="F18" s="4">
        <v>0</v>
      </c>
      <c r="G18" s="4">
        <v>0</v>
      </c>
      <c r="H18" s="4">
        <v>0</v>
      </c>
    </row>
    <row r="19" spans="1:8" x14ac:dyDescent="0.3">
      <c r="A19" s="4">
        <v>624</v>
      </c>
      <c r="B19" s="4">
        <v>3398819</v>
      </c>
      <c r="C19" s="4">
        <v>825779</v>
      </c>
      <c r="D19" s="4">
        <v>0</v>
      </c>
      <c r="E19" s="4">
        <v>825779</v>
      </c>
      <c r="F19" s="4">
        <v>373446</v>
      </c>
      <c r="G19" s="4">
        <v>0</v>
      </c>
      <c r="H19" s="4">
        <v>373446</v>
      </c>
    </row>
    <row r="20" spans="1:8" x14ac:dyDescent="0.3">
      <c r="A20" s="4">
        <v>114</v>
      </c>
      <c r="B20" s="4">
        <v>645588</v>
      </c>
      <c r="C20" s="4">
        <v>0</v>
      </c>
      <c r="D20" s="4">
        <v>0</v>
      </c>
      <c r="E20" s="4">
        <v>0</v>
      </c>
      <c r="F20" s="4">
        <v>117843</v>
      </c>
      <c r="G20" s="4">
        <v>-6045</v>
      </c>
      <c r="H20" s="4">
        <v>111798</v>
      </c>
    </row>
    <row r="21" spans="1:8" x14ac:dyDescent="0.3">
      <c r="A21" s="4">
        <v>761</v>
      </c>
      <c r="B21" s="4">
        <v>245833</v>
      </c>
      <c r="C21" s="4">
        <v>99124</v>
      </c>
      <c r="D21" s="4">
        <v>-3262</v>
      </c>
      <c r="E21" s="4">
        <v>102386</v>
      </c>
      <c r="F21" s="4">
        <v>38959</v>
      </c>
      <c r="G21" s="4">
        <v>825</v>
      </c>
      <c r="H21" s="4">
        <v>39784</v>
      </c>
    </row>
    <row r="22" spans="1:8" x14ac:dyDescent="0.3">
      <c r="A22" s="4">
        <v>542</v>
      </c>
      <c r="B22" s="4">
        <v>976522</v>
      </c>
      <c r="C22" s="4">
        <v>423231</v>
      </c>
      <c r="D22" s="4">
        <v>0</v>
      </c>
      <c r="E22" s="4">
        <v>423231</v>
      </c>
      <c r="F22" s="4">
        <v>193882</v>
      </c>
      <c r="G22" s="4">
        <v>0</v>
      </c>
      <c r="H22" s="4">
        <v>193882</v>
      </c>
    </row>
    <row r="23" spans="1:8" x14ac:dyDescent="0.3">
      <c r="A23" s="4">
        <v>414</v>
      </c>
      <c r="B23" s="4">
        <v>0</v>
      </c>
      <c r="C23" s="4">
        <v>49535</v>
      </c>
      <c r="D23" s="4">
        <v>0</v>
      </c>
      <c r="E23" s="4">
        <v>49535</v>
      </c>
      <c r="F23" s="4">
        <v>4646</v>
      </c>
      <c r="G23" s="4">
        <v>0</v>
      </c>
      <c r="H23" s="4">
        <v>4646</v>
      </c>
    </row>
    <row r="24" spans="1:8" x14ac:dyDescent="0.3">
      <c r="A24" s="4">
        <v>316</v>
      </c>
      <c r="B24" s="4">
        <v>923026</v>
      </c>
      <c r="C24" s="4">
        <v>351771</v>
      </c>
      <c r="D24" s="4">
        <v>0</v>
      </c>
      <c r="E24" s="4">
        <v>351771</v>
      </c>
      <c r="F24" s="4">
        <v>137590</v>
      </c>
      <c r="G24" s="4">
        <v>0</v>
      </c>
      <c r="H24" s="4">
        <v>137590</v>
      </c>
    </row>
    <row r="25" spans="1:8" x14ac:dyDescent="0.3">
      <c r="A25" s="4">
        <v>424</v>
      </c>
      <c r="B25" s="4">
        <v>858319</v>
      </c>
      <c r="C25" s="4">
        <v>319402</v>
      </c>
      <c r="D25" s="4">
        <v>0</v>
      </c>
      <c r="E25" s="4">
        <v>319402</v>
      </c>
      <c r="F25" s="4">
        <v>0</v>
      </c>
      <c r="G25" s="4">
        <v>0</v>
      </c>
      <c r="H25" s="4">
        <v>0</v>
      </c>
    </row>
    <row r="26" spans="1:8" x14ac:dyDescent="0.3">
      <c r="A26" s="4">
        <v>575</v>
      </c>
      <c r="B26" s="4">
        <v>3041638</v>
      </c>
      <c r="C26" s="4">
        <v>715904</v>
      </c>
      <c r="D26" s="4">
        <v>3279</v>
      </c>
      <c r="E26" s="4">
        <v>712625</v>
      </c>
      <c r="F26" s="4">
        <v>317803</v>
      </c>
      <c r="G26" s="4">
        <v>657</v>
      </c>
      <c r="H26" s="4">
        <v>318460</v>
      </c>
    </row>
    <row r="27" spans="1:8" x14ac:dyDescent="0.3">
      <c r="A27" s="4">
        <v>228</v>
      </c>
      <c r="B27" s="4">
        <v>0</v>
      </c>
      <c r="C27" s="4">
        <v>56217</v>
      </c>
      <c r="D27" s="4">
        <v>0</v>
      </c>
      <c r="E27" s="4">
        <v>56217</v>
      </c>
      <c r="F27" s="4">
        <v>24366</v>
      </c>
      <c r="G27" s="4">
        <v>0</v>
      </c>
      <c r="H27" s="4">
        <v>24366</v>
      </c>
    </row>
    <row r="28" spans="1:8" x14ac:dyDescent="0.3">
      <c r="A28" s="4">
        <v>380</v>
      </c>
      <c r="B28" s="4">
        <v>3500512</v>
      </c>
      <c r="C28" s="4">
        <v>1235657</v>
      </c>
      <c r="D28" s="4">
        <v>0</v>
      </c>
      <c r="E28" s="4">
        <v>1235657</v>
      </c>
      <c r="F28" s="4">
        <v>459381</v>
      </c>
      <c r="G28" s="4">
        <v>0</v>
      </c>
      <c r="H28" s="4">
        <v>459381</v>
      </c>
    </row>
    <row r="29" spans="1:8" x14ac:dyDescent="0.3">
      <c r="A29" s="4">
        <v>620</v>
      </c>
      <c r="B29" s="4">
        <v>2703954</v>
      </c>
      <c r="C29" s="4">
        <v>703721</v>
      </c>
      <c r="D29" s="4">
        <v>0</v>
      </c>
      <c r="E29" s="4">
        <v>703721</v>
      </c>
      <c r="F29" s="4">
        <v>0</v>
      </c>
      <c r="G29" s="4">
        <v>0</v>
      </c>
      <c r="H29" s="4">
        <v>0</v>
      </c>
    </row>
    <row r="30" spans="1:8" x14ac:dyDescent="0.3">
      <c r="A30" s="4">
        <v>311</v>
      </c>
      <c r="B30" s="4">
        <v>400542</v>
      </c>
      <c r="C30" s="4">
        <v>220185</v>
      </c>
      <c r="D30" s="4">
        <v>0</v>
      </c>
      <c r="E30" s="4">
        <v>220185</v>
      </c>
      <c r="F30" s="4">
        <v>0</v>
      </c>
      <c r="G30" s="4">
        <v>0</v>
      </c>
      <c r="H30" s="4">
        <v>0</v>
      </c>
    </row>
    <row r="31" spans="1:8" x14ac:dyDescent="0.3">
      <c r="A31" s="4">
        <v>345</v>
      </c>
      <c r="B31" s="4">
        <v>160449</v>
      </c>
      <c r="C31" s="4">
        <v>200328</v>
      </c>
      <c r="D31" s="4">
        <v>0</v>
      </c>
      <c r="E31" s="4">
        <v>200328</v>
      </c>
      <c r="F31" s="4">
        <v>135078</v>
      </c>
      <c r="G31" s="4">
        <v>0</v>
      </c>
      <c r="H31" s="4">
        <v>135078</v>
      </c>
    </row>
    <row r="32" spans="1:8" x14ac:dyDescent="0.3">
      <c r="A32" s="4">
        <v>861</v>
      </c>
      <c r="B32" s="4">
        <v>1530411</v>
      </c>
      <c r="C32" s="4">
        <v>613067</v>
      </c>
      <c r="D32" s="4">
        <v>0</v>
      </c>
      <c r="E32" s="4">
        <v>613067</v>
      </c>
      <c r="F32" s="4">
        <v>159400</v>
      </c>
      <c r="G32" s="4">
        <v>0</v>
      </c>
      <c r="H32" s="4">
        <v>159400</v>
      </c>
    </row>
    <row r="33" spans="1:8" x14ac:dyDescent="0.3">
      <c r="A33" s="4">
        <v>769</v>
      </c>
      <c r="B33" s="4">
        <v>677499</v>
      </c>
      <c r="C33" s="4">
        <v>258588.6271068193</v>
      </c>
      <c r="D33" s="4">
        <v>0</v>
      </c>
      <c r="E33" s="4">
        <v>258588.6271068193</v>
      </c>
      <c r="F33" s="4">
        <v>226226.94420319586</v>
      </c>
      <c r="G33" s="4">
        <v>0</v>
      </c>
      <c r="H33" s="4">
        <v>226226.94420319586</v>
      </c>
    </row>
    <row r="34" spans="1:8" x14ac:dyDescent="0.3">
      <c r="A34" s="4">
        <v>820</v>
      </c>
      <c r="B34" s="4">
        <v>3127912</v>
      </c>
      <c r="C34" s="4">
        <v>0</v>
      </c>
      <c r="D34" s="4">
        <v>0</v>
      </c>
      <c r="E34" s="4">
        <v>0</v>
      </c>
      <c r="F34" s="4">
        <v>0</v>
      </c>
      <c r="G34" s="4">
        <v>0</v>
      </c>
      <c r="H34" s="4">
        <v>0</v>
      </c>
    </row>
    <row r="35" spans="1:8" x14ac:dyDescent="0.3">
      <c r="A35" s="4">
        <v>332</v>
      </c>
      <c r="B35" s="4">
        <v>2742331</v>
      </c>
      <c r="C35" s="4">
        <v>569389</v>
      </c>
      <c r="D35" s="4">
        <v>0</v>
      </c>
      <c r="E35" s="4">
        <v>569389</v>
      </c>
      <c r="F35" s="4">
        <v>252066</v>
      </c>
      <c r="G35" s="4">
        <v>0</v>
      </c>
      <c r="H35" s="4">
        <v>252066</v>
      </c>
    </row>
    <row r="36" spans="1:8" x14ac:dyDescent="0.3">
      <c r="A36" s="4">
        <v>145</v>
      </c>
      <c r="B36" s="4">
        <v>2146248</v>
      </c>
      <c r="C36" s="4">
        <v>610514</v>
      </c>
      <c r="D36" s="4">
        <v>0</v>
      </c>
      <c r="E36" s="4">
        <v>610514</v>
      </c>
      <c r="F36" s="4">
        <v>307525</v>
      </c>
      <c r="G36" s="4">
        <v>0</v>
      </c>
      <c r="H36" s="4">
        <v>307525</v>
      </c>
    </row>
    <row r="37" spans="1:8" x14ac:dyDescent="0.3">
      <c r="A37" s="4">
        <v>272</v>
      </c>
      <c r="B37" s="4">
        <v>1262695</v>
      </c>
      <c r="C37" s="4">
        <v>464377</v>
      </c>
      <c r="D37" s="4">
        <v>0</v>
      </c>
      <c r="E37" s="4">
        <v>464377</v>
      </c>
      <c r="F37" s="4">
        <v>0</v>
      </c>
      <c r="G37" s="4">
        <v>0</v>
      </c>
      <c r="H37" s="4">
        <v>0</v>
      </c>
    </row>
    <row r="38" spans="1:8" x14ac:dyDescent="0.3">
      <c r="A38" s="4">
        <v>792</v>
      </c>
      <c r="B38" s="4">
        <v>1019516</v>
      </c>
      <c r="C38" s="4">
        <v>481667</v>
      </c>
      <c r="D38" s="4">
        <v>0</v>
      </c>
      <c r="E38" s="4">
        <v>481667</v>
      </c>
      <c r="F38" s="4">
        <v>0</v>
      </c>
      <c r="G38" s="4">
        <v>0</v>
      </c>
      <c r="H38" s="4">
        <v>0</v>
      </c>
    </row>
    <row r="39" spans="1:8" x14ac:dyDescent="0.3">
      <c r="A39" s="4">
        <v>628</v>
      </c>
      <c r="B39" s="4">
        <v>1290182</v>
      </c>
      <c r="C39" s="4">
        <v>301007</v>
      </c>
      <c r="D39" s="4">
        <v>300</v>
      </c>
      <c r="E39" s="4">
        <v>300707</v>
      </c>
      <c r="F39" s="4">
        <v>109708</v>
      </c>
      <c r="G39" s="4">
        <v>-5547</v>
      </c>
      <c r="H39" s="4">
        <v>104161</v>
      </c>
    </row>
    <row r="40" spans="1:8" x14ac:dyDescent="0.3">
      <c r="A40" s="4">
        <v>479</v>
      </c>
      <c r="B40" s="4">
        <v>713662</v>
      </c>
      <c r="C40" s="4">
        <v>317117</v>
      </c>
      <c r="D40" s="4">
        <v>0</v>
      </c>
      <c r="E40" s="4">
        <v>317117</v>
      </c>
      <c r="F40" s="4">
        <v>0</v>
      </c>
      <c r="G40" s="4">
        <v>0</v>
      </c>
      <c r="H40" s="4">
        <v>0</v>
      </c>
    </row>
    <row r="41" spans="1:8" x14ac:dyDescent="0.3">
      <c r="A41" s="4">
        <v>148</v>
      </c>
      <c r="B41" s="4">
        <v>518024</v>
      </c>
      <c r="C41" s="4">
        <v>299282</v>
      </c>
      <c r="D41" s="4">
        <v>0</v>
      </c>
      <c r="E41" s="4">
        <v>299282</v>
      </c>
      <c r="F41" s="4">
        <v>0</v>
      </c>
      <c r="G41" s="4">
        <v>0</v>
      </c>
      <c r="H41" s="4">
        <v>0</v>
      </c>
    </row>
    <row r="42" spans="1:8" x14ac:dyDescent="0.3">
      <c r="A42" s="4">
        <v>103</v>
      </c>
      <c r="B42" s="4">
        <v>500032</v>
      </c>
      <c r="C42" s="4">
        <v>535787</v>
      </c>
      <c r="D42" s="4">
        <v>-1415</v>
      </c>
      <c r="E42" s="4">
        <v>537202</v>
      </c>
      <c r="F42" s="4">
        <v>296655</v>
      </c>
      <c r="G42" s="4">
        <v>5477</v>
      </c>
      <c r="H42" s="4">
        <v>302132</v>
      </c>
    </row>
    <row r="43" spans="1:8" x14ac:dyDescent="0.3">
      <c r="A43" s="4">
        <v>365</v>
      </c>
      <c r="B43" s="4">
        <v>1051238</v>
      </c>
      <c r="C43" s="4">
        <v>242225</v>
      </c>
      <c r="D43" s="4">
        <v>-840</v>
      </c>
      <c r="E43" s="4">
        <v>243065</v>
      </c>
      <c r="F43" s="4">
        <v>99964</v>
      </c>
      <c r="G43" s="4">
        <v>0</v>
      </c>
      <c r="H43" s="4">
        <v>99964</v>
      </c>
    </row>
    <row r="44" spans="1:8" x14ac:dyDescent="0.3">
      <c r="A44" s="4">
        <v>253</v>
      </c>
      <c r="B44" s="4">
        <v>897490</v>
      </c>
      <c r="C44" s="4">
        <v>0</v>
      </c>
      <c r="D44" s="4">
        <v>0</v>
      </c>
      <c r="E44" s="4">
        <v>0</v>
      </c>
      <c r="F44" s="4">
        <v>145871</v>
      </c>
      <c r="G44" s="4">
        <v>8899</v>
      </c>
      <c r="H44" s="4">
        <v>154770</v>
      </c>
    </row>
    <row r="45" spans="1:8" x14ac:dyDescent="0.3">
      <c r="A45" s="4">
        <v>895</v>
      </c>
      <c r="B45" s="4">
        <v>769411</v>
      </c>
      <c r="C45" s="4">
        <v>0</v>
      </c>
      <c r="D45" s="4">
        <v>0</v>
      </c>
      <c r="E45" s="4">
        <v>0</v>
      </c>
      <c r="F45" s="4">
        <v>130558</v>
      </c>
      <c r="G45" s="4">
        <v>577</v>
      </c>
      <c r="H45" s="4">
        <v>131135</v>
      </c>
    </row>
    <row r="46" spans="1:8" x14ac:dyDescent="0.3">
      <c r="A46" s="4">
        <v>686</v>
      </c>
      <c r="B46" s="4">
        <v>3633736</v>
      </c>
      <c r="C46" s="4">
        <v>125764</v>
      </c>
      <c r="D46" s="4">
        <v>-13919</v>
      </c>
      <c r="E46" s="4">
        <v>139683</v>
      </c>
      <c r="F46" s="4">
        <v>0</v>
      </c>
      <c r="G46" s="4">
        <v>0</v>
      </c>
      <c r="H46" s="4">
        <v>0</v>
      </c>
    </row>
    <row r="47" spans="1:8" x14ac:dyDescent="0.3">
      <c r="A47" s="4">
        <v>234</v>
      </c>
      <c r="B47" s="4">
        <v>412868</v>
      </c>
      <c r="C47" s="4">
        <v>397061</v>
      </c>
      <c r="D47" s="4">
        <v>0</v>
      </c>
      <c r="E47" s="4">
        <v>397061</v>
      </c>
      <c r="F47" s="4">
        <v>262762</v>
      </c>
      <c r="G47" s="4">
        <v>0</v>
      </c>
      <c r="H47" s="4">
        <v>262762</v>
      </c>
    </row>
    <row r="48" spans="1:8" x14ac:dyDescent="0.3">
      <c r="A48" s="4">
        <v>418</v>
      </c>
      <c r="B48" s="4">
        <v>1037848</v>
      </c>
      <c r="C48" s="4">
        <v>446097</v>
      </c>
      <c r="D48" s="4">
        <v>-48</v>
      </c>
      <c r="E48" s="4">
        <v>446145</v>
      </c>
      <c r="F48" s="4">
        <v>290768</v>
      </c>
      <c r="G48" s="4">
        <v>-875</v>
      </c>
      <c r="H48" s="4">
        <v>289893</v>
      </c>
    </row>
    <row r="49" spans="1:8" x14ac:dyDescent="0.3">
      <c r="A49" s="4">
        <v>672</v>
      </c>
      <c r="B49" s="4">
        <v>0</v>
      </c>
      <c r="C49" s="4">
        <v>626773</v>
      </c>
      <c r="D49" s="4">
        <v>2661</v>
      </c>
      <c r="E49" s="4">
        <v>624112</v>
      </c>
      <c r="F49" s="4">
        <v>418201</v>
      </c>
      <c r="G49" s="4">
        <v>3705</v>
      </c>
      <c r="H49" s="4">
        <v>421906</v>
      </c>
    </row>
    <row r="50" spans="1:8" x14ac:dyDescent="0.3">
      <c r="A50" s="4">
        <v>560</v>
      </c>
      <c r="B50" s="4">
        <v>3711019</v>
      </c>
      <c r="C50" s="4">
        <v>1375047</v>
      </c>
      <c r="D50" s="4">
        <v>10765</v>
      </c>
      <c r="E50" s="4">
        <v>1364282</v>
      </c>
      <c r="F50" s="4">
        <v>68502</v>
      </c>
      <c r="G50" s="4">
        <v>19284</v>
      </c>
      <c r="H50" s="4">
        <v>87786</v>
      </c>
    </row>
    <row r="51" spans="1:8" x14ac:dyDescent="0.3">
      <c r="A51" s="4">
        <v>607</v>
      </c>
      <c r="B51" s="4">
        <v>1213776</v>
      </c>
      <c r="C51" s="4">
        <v>475368</v>
      </c>
      <c r="D51" s="4">
        <v>4135</v>
      </c>
      <c r="E51" s="4">
        <v>471233</v>
      </c>
      <c r="F51" s="4">
        <v>88484</v>
      </c>
      <c r="G51" s="4">
        <v>1652</v>
      </c>
      <c r="H51" s="4">
        <v>90136</v>
      </c>
    </row>
    <row r="52" spans="1:8" x14ac:dyDescent="0.3">
      <c r="A52" s="4">
        <v>522</v>
      </c>
      <c r="B52" s="4">
        <v>1078852</v>
      </c>
      <c r="C52" s="4">
        <v>431680</v>
      </c>
      <c r="D52" s="4">
        <v>0</v>
      </c>
      <c r="E52" s="4">
        <v>431680</v>
      </c>
      <c r="F52" s="4">
        <v>0</v>
      </c>
      <c r="G52" s="4">
        <v>0</v>
      </c>
      <c r="H52" s="4">
        <v>0</v>
      </c>
    </row>
    <row r="53" spans="1:8" x14ac:dyDescent="0.3">
      <c r="A53" s="4">
        <v>435</v>
      </c>
      <c r="B53" s="4">
        <v>698959</v>
      </c>
      <c r="C53" s="4">
        <v>457343</v>
      </c>
      <c r="D53" s="4">
        <v>0</v>
      </c>
      <c r="E53" s="4">
        <v>457343</v>
      </c>
      <c r="F53" s="4">
        <v>0</v>
      </c>
      <c r="G53" s="4">
        <v>0</v>
      </c>
      <c r="H53" s="4">
        <v>0</v>
      </c>
    </row>
    <row r="54" spans="1:8" x14ac:dyDescent="0.3">
      <c r="A54" s="4">
        <v>247</v>
      </c>
      <c r="B54" s="4">
        <v>1006938</v>
      </c>
      <c r="C54" s="4">
        <v>276857</v>
      </c>
      <c r="D54" s="4">
        <v>0</v>
      </c>
      <c r="E54" s="4">
        <v>276857</v>
      </c>
      <c r="F54" s="4">
        <v>0</v>
      </c>
      <c r="G54" s="4">
        <v>0</v>
      </c>
      <c r="H54" s="4">
        <v>0</v>
      </c>
    </row>
    <row r="55" spans="1:8" x14ac:dyDescent="0.3">
      <c r="A55" s="4">
        <v>584</v>
      </c>
      <c r="B55" s="4">
        <v>791141</v>
      </c>
      <c r="C55" s="4">
        <v>373442</v>
      </c>
      <c r="D55" s="4">
        <v>0</v>
      </c>
      <c r="E55" s="4">
        <v>373442</v>
      </c>
      <c r="F55" s="4">
        <v>0</v>
      </c>
      <c r="G55" s="4">
        <v>0</v>
      </c>
      <c r="H55" s="4">
        <v>0</v>
      </c>
    </row>
    <row r="56" spans="1:8" x14ac:dyDescent="0.3">
      <c r="A56" s="4">
        <v>605</v>
      </c>
      <c r="B56" s="4">
        <v>3446084</v>
      </c>
      <c r="C56" s="4">
        <v>856297</v>
      </c>
      <c r="D56" s="4">
        <v>8421</v>
      </c>
      <c r="E56" s="4">
        <v>847876</v>
      </c>
      <c r="F56" s="4">
        <v>530589</v>
      </c>
      <c r="G56" s="4">
        <v>-981</v>
      </c>
      <c r="H56" s="4">
        <v>529608</v>
      </c>
    </row>
    <row r="57" spans="1:8" x14ac:dyDescent="0.3">
      <c r="A57" s="4">
        <v>300</v>
      </c>
      <c r="B57" s="4">
        <v>728710</v>
      </c>
      <c r="C57" s="4">
        <v>455831</v>
      </c>
      <c r="D57" s="4">
        <v>0</v>
      </c>
      <c r="E57" s="4">
        <v>455831</v>
      </c>
      <c r="F57" s="4">
        <v>0</v>
      </c>
      <c r="G57" s="4">
        <v>0</v>
      </c>
      <c r="H57" s="4">
        <v>0</v>
      </c>
    </row>
    <row r="58" spans="1:8" x14ac:dyDescent="0.3">
      <c r="A58" s="4">
        <v>637</v>
      </c>
      <c r="B58" s="4">
        <v>2379075</v>
      </c>
      <c r="C58" s="4">
        <v>597617</v>
      </c>
      <c r="D58" s="4">
        <v>-5432</v>
      </c>
      <c r="E58" s="4">
        <v>603049</v>
      </c>
      <c r="F58" s="4">
        <v>284287</v>
      </c>
      <c r="G58" s="4">
        <v>-5331</v>
      </c>
      <c r="H58" s="4">
        <v>278956</v>
      </c>
    </row>
    <row r="59" spans="1:8" x14ac:dyDescent="0.3">
      <c r="A59" s="4">
        <v>837</v>
      </c>
      <c r="B59" s="4">
        <v>1008383</v>
      </c>
      <c r="C59" s="4">
        <v>410048</v>
      </c>
      <c r="D59" s="4">
        <v>-831</v>
      </c>
      <c r="E59" s="4">
        <v>410879</v>
      </c>
      <c r="F59" s="4">
        <v>271002</v>
      </c>
      <c r="G59" s="4">
        <v>-2859</v>
      </c>
      <c r="H59" s="4">
        <v>268143</v>
      </c>
    </row>
    <row r="60" spans="1:8" x14ac:dyDescent="0.3">
      <c r="A60" s="4">
        <v>149</v>
      </c>
      <c r="B60" s="4">
        <v>1104240</v>
      </c>
      <c r="C60" s="4">
        <v>0</v>
      </c>
      <c r="D60" s="4">
        <v>0</v>
      </c>
      <c r="E60" s="4">
        <v>0</v>
      </c>
      <c r="F60" s="4">
        <v>0</v>
      </c>
      <c r="G60" s="4">
        <v>0</v>
      </c>
      <c r="H60" s="4">
        <v>0</v>
      </c>
    </row>
    <row r="61" spans="1:8" x14ac:dyDescent="0.3">
      <c r="A61" s="4">
        <v>867</v>
      </c>
      <c r="B61" s="4">
        <v>3664248</v>
      </c>
      <c r="C61" s="4">
        <v>1268192</v>
      </c>
      <c r="D61" s="4">
        <v>1149</v>
      </c>
      <c r="E61" s="4">
        <v>1267043</v>
      </c>
      <c r="F61" s="4">
        <v>517920</v>
      </c>
      <c r="G61" s="4">
        <v>-1365</v>
      </c>
      <c r="H61" s="4">
        <v>516555</v>
      </c>
    </row>
    <row r="62" spans="1:8" x14ac:dyDescent="0.3">
      <c r="A62" s="4">
        <v>903</v>
      </c>
      <c r="B62" s="4">
        <v>988405</v>
      </c>
      <c r="C62" s="4">
        <v>275601</v>
      </c>
      <c r="D62" s="4">
        <v>0</v>
      </c>
      <c r="E62" s="4">
        <v>275601</v>
      </c>
      <c r="F62" s="4">
        <v>0</v>
      </c>
      <c r="G62" s="4">
        <v>0</v>
      </c>
      <c r="H62" s="4">
        <v>0</v>
      </c>
    </row>
    <row r="63" spans="1:8" x14ac:dyDescent="0.3">
      <c r="A63" s="4">
        <v>147</v>
      </c>
      <c r="B63" s="4">
        <v>181636</v>
      </c>
      <c r="C63" s="4">
        <v>105860</v>
      </c>
      <c r="D63" s="4">
        <v>-1182</v>
      </c>
      <c r="E63" s="4">
        <v>107042</v>
      </c>
      <c r="F63" s="4">
        <v>49984</v>
      </c>
      <c r="G63" s="4">
        <v>1984</v>
      </c>
      <c r="H63" s="4">
        <v>51968</v>
      </c>
    </row>
    <row r="64" spans="1:8" x14ac:dyDescent="0.3">
      <c r="A64" s="4">
        <v>622</v>
      </c>
      <c r="B64" s="4">
        <v>3657292</v>
      </c>
      <c r="C64" s="4">
        <v>0</v>
      </c>
      <c r="D64" s="4">
        <v>0</v>
      </c>
      <c r="E64" s="4">
        <v>0</v>
      </c>
      <c r="F64" s="4">
        <v>0</v>
      </c>
      <c r="G64" s="4">
        <v>0</v>
      </c>
      <c r="H64" s="4">
        <v>0</v>
      </c>
    </row>
    <row r="65" spans="1:8" x14ac:dyDescent="0.3">
      <c r="A65" s="4">
        <v>671</v>
      </c>
      <c r="B65" s="4">
        <v>4069689</v>
      </c>
      <c r="C65" s="4">
        <v>800708</v>
      </c>
      <c r="D65" s="4">
        <v>-1420</v>
      </c>
      <c r="E65" s="4">
        <v>802128</v>
      </c>
      <c r="F65" s="4">
        <v>761909</v>
      </c>
      <c r="G65" s="4">
        <v>-7106</v>
      </c>
      <c r="H65" s="4">
        <v>754803</v>
      </c>
    </row>
    <row r="66" spans="1:8" x14ac:dyDescent="0.3">
      <c r="A66" s="4">
        <v>608</v>
      </c>
      <c r="B66" s="4">
        <v>1984039</v>
      </c>
      <c r="C66" s="4">
        <v>501723</v>
      </c>
      <c r="D66" s="4">
        <v>-6093</v>
      </c>
      <c r="E66" s="4">
        <v>507816</v>
      </c>
      <c r="F66" s="4">
        <v>181629</v>
      </c>
      <c r="G66" s="4">
        <v>-2135</v>
      </c>
      <c r="H66" s="4">
        <v>179494</v>
      </c>
    </row>
    <row r="67" spans="1:8" x14ac:dyDescent="0.3">
      <c r="A67" s="4">
        <v>752</v>
      </c>
      <c r="B67" s="4">
        <v>1928556</v>
      </c>
      <c r="C67" s="4">
        <v>62169</v>
      </c>
      <c r="D67" s="4">
        <v>2999</v>
      </c>
      <c r="E67" s="4">
        <v>59170</v>
      </c>
      <c r="F67" s="4">
        <v>414329</v>
      </c>
      <c r="G67" s="4">
        <v>-1773</v>
      </c>
      <c r="H67" s="4">
        <v>412556</v>
      </c>
    </row>
    <row r="68" spans="1:8" x14ac:dyDescent="0.3">
      <c r="A68" s="4">
        <v>218</v>
      </c>
      <c r="B68" s="4">
        <v>1155999</v>
      </c>
      <c r="C68" s="4">
        <v>549388</v>
      </c>
      <c r="D68" s="4">
        <v>0</v>
      </c>
      <c r="E68" s="4">
        <v>549388</v>
      </c>
      <c r="F68" s="4">
        <v>253517</v>
      </c>
      <c r="G68" s="4">
        <v>0</v>
      </c>
      <c r="H68" s="4">
        <v>253517</v>
      </c>
    </row>
    <row r="69" spans="1:8" x14ac:dyDescent="0.3">
      <c r="A69" s="4">
        <v>848</v>
      </c>
      <c r="B69" s="4">
        <v>1345457</v>
      </c>
      <c r="C69" s="4">
        <v>382783</v>
      </c>
      <c r="D69" s="4">
        <v>0</v>
      </c>
      <c r="E69" s="4">
        <v>382783</v>
      </c>
      <c r="F69" s="4">
        <v>98946</v>
      </c>
      <c r="G69" s="4">
        <v>0</v>
      </c>
      <c r="H69" s="4">
        <v>98946</v>
      </c>
    </row>
    <row r="70" spans="1:8" x14ac:dyDescent="0.3">
      <c r="A70" s="4">
        <v>350</v>
      </c>
      <c r="B70" s="4">
        <v>880722</v>
      </c>
      <c r="C70" s="4">
        <v>405597</v>
      </c>
      <c r="D70" s="4">
        <v>2723</v>
      </c>
      <c r="E70" s="4">
        <v>402874</v>
      </c>
      <c r="F70" s="4">
        <v>0</v>
      </c>
      <c r="G70" s="4">
        <v>0</v>
      </c>
      <c r="H70" s="4">
        <v>0</v>
      </c>
    </row>
    <row r="71" spans="1:8" x14ac:dyDescent="0.3">
      <c r="A71" s="4">
        <v>486</v>
      </c>
      <c r="B71" s="4">
        <v>782004</v>
      </c>
      <c r="C71" s="4">
        <v>463014</v>
      </c>
      <c r="D71" s="4">
        <v>0</v>
      </c>
      <c r="E71" s="4">
        <v>463014</v>
      </c>
      <c r="F71" s="4">
        <v>70386</v>
      </c>
      <c r="G71" s="4">
        <v>0</v>
      </c>
      <c r="H71" s="4">
        <v>70386</v>
      </c>
    </row>
    <row r="72" spans="1:8" x14ac:dyDescent="0.3">
      <c r="A72" s="4">
        <v>731</v>
      </c>
      <c r="B72" s="4">
        <v>1704316</v>
      </c>
      <c r="C72" s="4">
        <v>452924</v>
      </c>
      <c r="D72" s="4">
        <v>2370</v>
      </c>
      <c r="E72" s="4">
        <v>450554</v>
      </c>
      <c r="F72" s="4">
        <v>193644</v>
      </c>
      <c r="G72" s="4">
        <v>294</v>
      </c>
      <c r="H72" s="4">
        <v>193938</v>
      </c>
    </row>
    <row r="73" spans="1:8" x14ac:dyDescent="0.3">
      <c r="A73" s="4">
        <v>487</v>
      </c>
      <c r="B73" s="4">
        <v>1039144</v>
      </c>
      <c r="C73" s="4">
        <v>13082</v>
      </c>
      <c r="D73" s="4">
        <v>0</v>
      </c>
      <c r="E73" s="4">
        <v>13082</v>
      </c>
      <c r="F73" s="4">
        <v>267487</v>
      </c>
      <c r="G73" s="4">
        <v>0</v>
      </c>
      <c r="H73" s="4">
        <v>267487</v>
      </c>
    </row>
    <row r="74" spans="1:8" x14ac:dyDescent="0.3">
      <c r="A74" s="4">
        <v>288</v>
      </c>
      <c r="B74" s="4">
        <v>683337</v>
      </c>
      <c r="C74" s="4">
        <v>244455</v>
      </c>
      <c r="D74" s="4">
        <v>0</v>
      </c>
      <c r="E74" s="4">
        <v>244455</v>
      </c>
      <c r="F74" s="4">
        <v>0</v>
      </c>
      <c r="G74" s="4">
        <v>0</v>
      </c>
      <c r="H74" s="4">
        <v>0</v>
      </c>
    </row>
    <row r="75" spans="1:8" x14ac:dyDescent="0.3">
      <c r="A75" s="4">
        <v>803</v>
      </c>
      <c r="B75" s="4">
        <v>398247</v>
      </c>
      <c r="C75" s="4">
        <v>250339</v>
      </c>
      <c r="D75" s="4">
        <v>0</v>
      </c>
      <c r="E75" s="4">
        <v>250339</v>
      </c>
      <c r="F75" s="4">
        <v>91739</v>
      </c>
      <c r="G75" s="4">
        <v>0</v>
      </c>
      <c r="H75" s="4">
        <v>91739</v>
      </c>
    </row>
    <row r="76" spans="1:8" x14ac:dyDescent="0.3">
      <c r="A76" s="4">
        <v>276</v>
      </c>
      <c r="B76" s="4">
        <v>675694</v>
      </c>
      <c r="C76" s="4">
        <v>339527</v>
      </c>
      <c r="D76" s="4">
        <v>0</v>
      </c>
      <c r="E76" s="4">
        <v>339527</v>
      </c>
      <c r="F76" s="4">
        <v>0</v>
      </c>
      <c r="G76" s="4">
        <v>0</v>
      </c>
      <c r="H76" s="4">
        <v>0</v>
      </c>
    </row>
    <row r="77" spans="1:8" x14ac:dyDescent="0.3">
      <c r="A77" s="4">
        <v>209</v>
      </c>
      <c r="B77" s="4">
        <v>1135063</v>
      </c>
      <c r="C77" s="4">
        <v>408022</v>
      </c>
      <c r="D77" s="4">
        <v>1762</v>
      </c>
      <c r="E77" s="4">
        <v>406260</v>
      </c>
      <c r="F77" s="4">
        <v>106901</v>
      </c>
      <c r="G77" s="4">
        <v>471</v>
      </c>
      <c r="H77" s="4">
        <v>107372</v>
      </c>
    </row>
    <row r="78" spans="1:8" x14ac:dyDescent="0.3">
      <c r="A78" s="4">
        <v>987</v>
      </c>
      <c r="B78" s="4">
        <v>1726965</v>
      </c>
      <c r="C78" s="4">
        <v>398632</v>
      </c>
      <c r="D78" s="4">
        <v>0</v>
      </c>
      <c r="E78" s="4">
        <v>398632</v>
      </c>
      <c r="F78" s="4">
        <v>0</v>
      </c>
      <c r="G78" s="4">
        <v>0</v>
      </c>
      <c r="H78" s="4">
        <v>0</v>
      </c>
    </row>
    <row r="79" spans="1:8" x14ac:dyDescent="0.3">
      <c r="A79" s="4">
        <v>699</v>
      </c>
      <c r="B79" s="4">
        <v>3440553</v>
      </c>
      <c r="C79" s="4">
        <v>615479</v>
      </c>
      <c r="D79" s="4">
        <v>0</v>
      </c>
      <c r="E79" s="4">
        <v>615479</v>
      </c>
      <c r="F79" s="4">
        <v>512882</v>
      </c>
      <c r="G79" s="4">
        <v>0</v>
      </c>
      <c r="H79" s="4">
        <v>512882</v>
      </c>
    </row>
    <row r="80" spans="1:8" x14ac:dyDescent="0.3">
      <c r="A80" s="4">
        <v>926</v>
      </c>
      <c r="B80" s="4">
        <v>1441304</v>
      </c>
      <c r="C80" s="4">
        <v>389289</v>
      </c>
      <c r="D80" s="4">
        <v>0</v>
      </c>
      <c r="E80" s="4">
        <v>389289</v>
      </c>
      <c r="F80" s="4">
        <v>375440</v>
      </c>
      <c r="G80" s="4">
        <v>0</v>
      </c>
      <c r="H80" s="4">
        <v>375440</v>
      </c>
    </row>
    <row r="81" spans="1:8" x14ac:dyDescent="0.3">
      <c r="A81" s="4">
        <v>701</v>
      </c>
      <c r="B81" s="4">
        <v>0</v>
      </c>
      <c r="C81" s="4">
        <v>206983</v>
      </c>
      <c r="D81" s="4">
        <v>0</v>
      </c>
      <c r="E81" s="4">
        <v>206983</v>
      </c>
      <c r="F81" s="4">
        <v>135954</v>
      </c>
      <c r="G81" s="4">
        <v>0</v>
      </c>
      <c r="H81" s="4">
        <v>135954</v>
      </c>
    </row>
    <row r="82" spans="1:8" x14ac:dyDescent="0.3">
      <c r="A82" s="4">
        <v>902</v>
      </c>
      <c r="B82" s="4">
        <v>1246210</v>
      </c>
      <c r="C82" s="4">
        <v>382650</v>
      </c>
      <c r="D82" s="4">
        <v>0</v>
      </c>
      <c r="E82" s="4">
        <v>382650</v>
      </c>
      <c r="F82" s="4">
        <v>257423</v>
      </c>
      <c r="G82" s="4">
        <v>0</v>
      </c>
      <c r="H82" s="4">
        <v>257423</v>
      </c>
    </row>
    <row r="83" spans="1:8" x14ac:dyDescent="0.3">
      <c r="A83" s="4">
        <v>232</v>
      </c>
      <c r="B83" s="4">
        <v>2964108</v>
      </c>
      <c r="C83" s="4">
        <v>1242881</v>
      </c>
      <c r="D83" s="4">
        <v>7891</v>
      </c>
      <c r="E83" s="4">
        <v>1234990</v>
      </c>
      <c r="F83" s="4">
        <v>335167</v>
      </c>
      <c r="G83" s="4">
        <v>-424</v>
      </c>
      <c r="H83" s="4">
        <v>334743</v>
      </c>
    </row>
    <row r="84" spans="1:8" x14ac:dyDescent="0.3">
      <c r="A84" s="4">
        <v>501</v>
      </c>
      <c r="B84" s="4">
        <v>4793308</v>
      </c>
      <c r="C84" s="4">
        <v>1209546</v>
      </c>
      <c r="D84" s="4">
        <v>5141</v>
      </c>
      <c r="E84" s="4">
        <v>1204405</v>
      </c>
      <c r="F84" s="4">
        <v>598707</v>
      </c>
      <c r="G84" s="4">
        <v>1729</v>
      </c>
      <c r="H84" s="4">
        <v>600436</v>
      </c>
    </row>
    <row r="85" spans="1:8" x14ac:dyDescent="0.3">
      <c r="A85" s="4">
        <v>817</v>
      </c>
      <c r="B85" s="4">
        <v>1008822</v>
      </c>
      <c r="C85" s="4">
        <v>359818</v>
      </c>
      <c r="D85" s="4">
        <v>-2925</v>
      </c>
      <c r="E85" s="4">
        <v>362743</v>
      </c>
      <c r="F85" s="4">
        <v>170729</v>
      </c>
      <c r="G85" s="4">
        <v>-4516</v>
      </c>
      <c r="H85" s="4">
        <v>166213</v>
      </c>
    </row>
    <row r="86" spans="1:8" x14ac:dyDescent="0.3">
      <c r="A86" s="4">
        <v>881</v>
      </c>
      <c r="B86" s="4">
        <v>665069</v>
      </c>
      <c r="C86" s="4">
        <v>383873</v>
      </c>
      <c r="D86" s="4">
        <v>967</v>
      </c>
      <c r="E86" s="4">
        <v>382906</v>
      </c>
      <c r="F86" s="4">
        <v>48547</v>
      </c>
      <c r="G86" s="4">
        <v>-6880</v>
      </c>
      <c r="H86" s="4">
        <v>41667</v>
      </c>
    </row>
    <row r="87" spans="1:8" x14ac:dyDescent="0.3">
      <c r="A87" s="4">
        <v>360</v>
      </c>
      <c r="B87" s="4">
        <v>609760</v>
      </c>
      <c r="C87" s="4">
        <v>244167</v>
      </c>
      <c r="D87" s="4">
        <v>0</v>
      </c>
      <c r="E87" s="4">
        <v>244167</v>
      </c>
      <c r="F87" s="4">
        <v>0</v>
      </c>
      <c r="G87" s="4">
        <v>0</v>
      </c>
      <c r="H87" s="4">
        <v>0</v>
      </c>
    </row>
    <row r="88" spans="1:8" x14ac:dyDescent="0.3">
      <c r="A88" s="4">
        <v>956</v>
      </c>
      <c r="B88" s="4">
        <v>2057098</v>
      </c>
      <c r="C88" s="4">
        <v>0</v>
      </c>
      <c r="D88" s="4">
        <v>0</v>
      </c>
      <c r="E88" s="4">
        <v>0</v>
      </c>
      <c r="F88" s="4">
        <v>264623</v>
      </c>
      <c r="G88" s="4">
        <v>-1210</v>
      </c>
      <c r="H88" s="4">
        <v>263413</v>
      </c>
    </row>
    <row r="89" spans="1:8" x14ac:dyDescent="0.3">
      <c r="A89" s="4">
        <v>463</v>
      </c>
      <c r="B89" s="4">
        <v>1514327</v>
      </c>
      <c r="C89" s="4">
        <v>701772</v>
      </c>
      <c r="D89" s="4">
        <v>-2624</v>
      </c>
      <c r="E89" s="4">
        <v>704396</v>
      </c>
      <c r="F89" s="4">
        <v>226519</v>
      </c>
      <c r="G89" s="4">
        <v>649</v>
      </c>
      <c r="H89" s="4">
        <v>227168</v>
      </c>
    </row>
    <row r="90" spans="1:8" x14ac:dyDescent="0.3">
      <c r="A90" s="4">
        <v>705</v>
      </c>
      <c r="B90" s="4">
        <v>2752430</v>
      </c>
      <c r="C90" s="4">
        <v>651712</v>
      </c>
      <c r="D90" s="4">
        <v>0</v>
      </c>
      <c r="E90" s="4">
        <v>651712</v>
      </c>
      <c r="F90" s="4">
        <v>0</v>
      </c>
      <c r="G90" s="4">
        <v>0</v>
      </c>
      <c r="H90" s="4">
        <v>0</v>
      </c>
    </row>
    <row r="91" spans="1:8" x14ac:dyDescent="0.3">
      <c r="A91" s="4">
        <v>914</v>
      </c>
      <c r="B91" s="4">
        <v>1008072</v>
      </c>
      <c r="C91" s="4">
        <v>410396</v>
      </c>
      <c r="D91" s="4">
        <v>0</v>
      </c>
      <c r="E91" s="4">
        <v>410396</v>
      </c>
      <c r="F91" s="4">
        <v>0</v>
      </c>
      <c r="G91" s="4">
        <v>0</v>
      </c>
      <c r="H91" s="4">
        <v>0</v>
      </c>
    </row>
    <row r="92" spans="1:8" x14ac:dyDescent="0.3">
      <c r="A92" s="4">
        <v>712</v>
      </c>
      <c r="B92" s="4">
        <v>1110778</v>
      </c>
      <c r="C92" s="4">
        <v>401901</v>
      </c>
      <c r="D92" s="4">
        <v>0</v>
      </c>
      <c r="E92" s="4">
        <v>401901</v>
      </c>
      <c r="F92" s="4">
        <v>193384</v>
      </c>
      <c r="G92" s="4">
        <v>0</v>
      </c>
      <c r="H92" s="4">
        <v>193384</v>
      </c>
    </row>
    <row r="93" spans="1:8" x14ac:dyDescent="0.3">
      <c r="A93" s="4">
        <v>223</v>
      </c>
      <c r="B93" s="4">
        <v>1974904</v>
      </c>
      <c r="C93" s="4">
        <v>526372</v>
      </c>
      <c r="D93" s="4">
        <v>5350</v>
      </c>
      <c r="E93" s="4">
        <v>521022</v>
      </c>
      <c r="F93" s="4">
        <v>-79</v>
      </c>
      <c r="G93" s="4">
        <v>0</v>
      </c>
      <c r="H93" s="4">
        <v>-79</v>
      </c>
    </row>
    <row r="94" spans="1:8" x14ac:dyDescent="0.3">
      <c r="A94" s="4">
        <v>934</v>
      </c>
      <c r="B94" s="4">
        <v>868937</v>
      </c>
      <c r="C94" s="4">
        <v>337696</v>
      </c>
      <c r="D94" s="4">
        <v>1831</v>
      </c>
      <c r="E94" s="4">
        <v>335865</v>
      </c>
      <c r="F94" s="4">
        <v>274458</v>
      </c>
      <c r="G94" s="4">
        <v>-10089</v>
      </c>
      <c r="H94" s="4">
        <v>264369</v>
      </c>
    </row>
    <row r="95" spans="1:8" x14ac:dyDescent="0.3">
      <c r="A95" s="4">
        <v>263</v>
      </c>
      <c r="B95" s="4">
        <v>855615</v>
      </c>
      <c r="C95" s="4">
        <v>309893</v>
      </c>
      <c r="D95" s="4">
        <v>0</v>
      </c>
      <c r="E95" s="4">
        <v>309893</v>
      </c>
      <c r="F95" s="4">
        <v>97708</v>
      </c>
      <c r="G95" s="4">
        <v>0</v>
      </c>
      <c r="H95" s="4">
        <v>97708</v>
      </c>
    </row>
    <row r="96" spans="1:8" x14ac:dyDescent="0.3">
      <c r="A96" s="4">
        <v>440</v>
      </c>
      <c r="B96" s="4">
        <v>1090634</v>
      </c>
      <c r="C96" s="4">
        <v>450748</v>
      </c>
      <c r="D96" s="4">
        <v>-6664</v>
      </c>
      <c r="E96" s="4">
        <v>457412</v>
      </c>
      <c r="F96" s="4">
        <v>67161</v>
      </c>
      <c r="G96" s="4">
        <v>-341</v>
      </c>
      <c r="H96" s="4">
        <v>66820</v>
      </c>
    </row>
    <row r="97" spans="1:8" x14ac:dyDescent="0.3">
      <c r="A97" s="4">
        <v>535</v>
      </c>
      <c r="B97" s="4">
        <v>879354</v>
      </c>
      <c r="C97" s="4">
        <v>237391</v>
      </c>
      <c r="D97" s="4">
        <v>1361</v>
      </c>
      <c r="E97" s="4">
        <v>236030</v>
      </c>
      <c r="F97" s="4">
        <v>54488</v>
      </c>
      <c r="G97" s="4">
        <v>643</v>
      </c>
      <c r="H97" s="4">
        <v>55131</v>
      </c>
    </row>
    <row r="98" spans="1:8" x14ac:dyDescent="0.3">
      <c r="A98" s="4">
        <v>372</v>
      </c>
      <c r="B98" s="4">
        <v>2122433</v>
      </c>
      <c r="C98" s="4">
        <v>300570</v>
      </c>
      <c r="D98" s="4">
        <v>0</v>
      </c>
      <c r="E98" s="4">
        <v>300570</v>
      </c>
      <c r="F98" s="4">
        <v>216741</v>
      </c>
      <c r="G98" s="4">
        <v>0</v>
      </c>
      <c r="H98" s="4">
        <v>216741</v>
      </c>
    </row>
    <row r="99" spans="1:8" x14ac:dyDescent="0.3">
      <c r="A99" s="4">
        <v>512</v>
      </c>
      <c r="B99" s="4">
        <v>259053</v>
      </c>
      <c r="C99" s="4">
        <v>109441</v>
      </c>
      <c r="D99" s="4">
        <v>383</v>
      </c>
      <c r="E99" s="4">
        <v>109058</v>
      </c>
      <c r="F99" s="4">
        <v>157</v>
      </c>
      <c r="G99" s="4">
        <v>0</v>
      </c>
      <c r="H99" s="4">
        <v>157</v>
      </c>
    </row>
    <row r="100" spans="1:8" x14ac:dyDescent="0.3">
      <c r="A100" s="4">
        <v>894</v>
      </c>
      <c r="B100" s="4">
        <v>1162393</v>
      </c>
      <c r="C100" s="4">
        <v>171209</v>
      </c>
      <c r="D100" s="4">
        <v>-19427</v>
      </c>
      <c r="E100" s="4">
        <v>190636</v>
      </c>
      <c r="F100" s="4">
        <v>150529</v>
      </c>
      <c r="G100" s="4">
        <v>497</v>
      </c>
      <c r="H100" s="4">
        <v>151026</v>
      </c>
    </row>
    <row r="101" spans="1:8" x14ac:dyDescent="0.3">
      <c r="A101" s="4">
        <v>185</v>
      </c>
      <c r="B101" s="4">
        <v>665950</v>
      </c>
      <c r="C101" s="4">
        <v>257219</v>
      </c>
      <c r="D101" s="4">
        <v>0</v>
      </c>
      <c r="E101" s="4">
        <v>257219</v>
      </c>
      <c r="F101" s="4">
        <v>127141</v>
      </c>
      <c r="G101" s="4">
        <v>0</v>
      </c>
      <c r="H101" s="4">
        <v>127141</v>
      </c>
    </row>
    <row r="102" spans="1:8" x14ac:dyDescent="0.3">
      <c r="A102" s="4">
        <v>395</v>
      </c>
      <c r="B102" s="4">
        <v>1449430</v>
      </c>
      <c r="C102" s="4">
        <v>0</v>
      </c>
      <c r="D102" s="4">
        <v>0</v>
      </c>
      <c r="E102" s="4">
        <v>0</v>
      </c>
      <c r="F102" s="4">
        <v>286585</v>
      </c>
      <c r="G102" s="4">
        <v>-715</v>
      </c>
      <c r="H102" s="4">
        <v>285870</v>
      </c>
    </row>
    <row r="103" spans="1:8" x14ac:dyDescent="0.3">
      <c r="A103" s="4">
        <v>383</v>
      </c>
      <c r="B103" s="4">
        <v>1062840</v>
      </c>
      <c r="C103" s="4">
        <v>289958</v>
      </c>
      <c r="D103" s="4">
        <v>350</v>
      </c>
      <c r="E103" s="4">
        <v>289608</v>
      </c>
      <c r="F103" s="4">
        <v>94503</v>
      </c>
      <c r="G103" s="4">
        <v>-632</v>
      </c>
      <c r="H103" s="4">
        <v>93871</v>
      </c>
    </row>
    <row r="104" spans="1:8" x14ac:dyDescent="0.3">
      <c r="A104" s="4">
        <v>735</v>
      </c>
      <c r="B104" s="4">
        <v>912286</v>
      </c>
      <c r="C104" s="4">
        <v>245220</v>
      </c>
      <c r="D104" s="4">
        <v>0</v>
      </c>
      <c r="E104" s="4">
        <v>245220</v>
      </c>
      <c r="F104" s="4">
        <v>0</v>
      </c>
      <c r="G104" s="4">
        <v>0</v>
      </c>
      <c r="H104" s="4">
        <v>0</v>
      </c>
    </row>
    <row r="105" spans="1:8" x14ac:dyDescent="0.3">
      <c r="A105" s="4">
        <v>873</v>
      </c>
      <c r="B105" s="4">
        <v>488587</v>
      </c>
      <c r="C105" s="4">
        <v>320766</v>
      </c>
      <c r="D105" s="4">
        <v>0</v>
      </c>
      <c r="E105" s="4">
        <v>320766</v>
      </c>
      <c r="F105" s="4">
        <v>0</v>
      </c>
      <c r="G105" s="4">
        <v>0</v>
      </c>
      <c r="H105" s="4">
        <v>0</v>
      </c>
    </row>
    <row r="106" spans="1:8" x14ac:dyDescent="0.3">
      <c r="A106" s="4">
        <v>692</v>
      </c>
      <c r="B106" s="4">
        <v>399150</v>
      </c>
      <c r="C106" s="4">
        <v>212120</v>
      </c>
      <c r="D106" s="4">
        <v>-4075</v>
      </c>
      <c r="E106" s="4">
        <v>216195</v>
      </c>
      <c r="F106" s="4">
        <v>85420</v>
      </c>
      <c r="G106" s="4">
        <v>-230</v>
      </c>
      <c r="H106" s="4">
        <v>85190</v>
      </c>
    </row>
    <row r="107" spans="1:8" x14ac:dyDescent="0.3">
      <c r="A107" s="4">
        <v>319</v>
      </c>
      <c r="B107" s="4">
        <v>1223612</v>
      </c>
      <c r="C107" s="4">
        <v>0</v>
      </c>
      <c r="D107" s="4">
        <v>0</v>
      </c>
      <c r="E107" s="4">
        <v>0</v>
      </c>
      <c r="F107" s="4">
        <v>1226</v>
      </c>
      <c r="G107" s="4">
        <v>0</v>
      </c>
      <c r="H107" s="4">
        <v>1226</v>
      </c>
    </row>
    <row r="108" spans="1:8" x14ac:dyDescent="0.3">
      <c r="A108" s="4">
        <v>122</v>
      </c>
      <c r="B108" s="4">
        <v>1915366</v>
      </c>
      <c r="C108" s="4">
        <v>0</v>
      </c>
      <c r="D108" s="4">
        <v>0</v>
      </c>
      <c r="E108" s="4">
        <v>0</v>
      </c>
      <c r="F108" s="4">
        <v>0</v>
      </c>
      <c r="G108" s="4">
        <v>0</v>
      </c>
      <c r="H108" s="4">
        <v>0</v>
      </c>
    </row>
    <row r="109" spans="1:8" x14ac:dyDescent="0.3">
      <c r="A109" s="4">
        <v>646</v>
      </c>
      <c r="B109" s="4">
        <v>1991672</v>
      </c>
      <c r="C109" s="4">
        <v>901282</v>
      </c>
      <c r="D109" s="4">
        <v>-2772</v>
      </c>
      <c r="E109" s="4">
        <v>904054</v>
      </c>
      <c r="F109" s="4">
        <v>148659</v>
      </c>
      <c r="G109" s="4">
        <v>301</v>
      </c>
      <c r="H109" s="4">
        <v>148960</v>
      </c>
    </row>
    <row r="110" spans="1:8" x14ac:dyDescent="0.3">
      <c r="A110" s="4">
        <v>432</v>
      </c>
      <c r="B110" s="4">
        <v>646807</v>
      </c>
      <c r="C110" s="4">
        <v>0</v>
      </c>
      <c r="D110" s="4">
        <v>0</v>
      </c>
      <c r="E110" s="4">
        <v>0</v>
      </c>
      <c r="F110" s="4">
        <v>40159</v>
      </c>
      <c r="G110" s="4">
        <v>0</v>
      </c>
      <c r="H110" s="4">
        <v>40159</v>
      </c>
    </row>
    <row r="111" spans="1:8" x14ac:dyDescent="0.3">
      <c r="A111" s="4">
        <v>781</v>
      </c>
      <c r="B111" s="4">
        <v>892259</v>
      </c>
      <c r="C111" s="4">
        <v>317900</v>
      </c>
      <c r="D111" s="4">
        <v>-1538</v>
      </c>
      <c r="E111" s="4">
        <v>319438</v>
      </c>
      <c r="F111" s="4">
        <v>62034</v>
      </c>
      <c r="G111" s="4">
        <v>24</v>
      </c>
      <c r="H111" s="4">
        <v>62058</v>
      </c>
    </row>
    <row r="112" spans="1:8" x14ac:dyDescent="0.3">
      <c r="A112" s="4">
        <v>728</v>
      </c>
      <c r="B112" s="4">
        <v>755342</v>
      </c>
      <c r="C112" s="4">
        <v>197331</v>
      </c>
      <c r="D112" s="4">
        <v>653</v>
      </c>
      <c r="E112" s="4">
        <v>196678</v>
      </c>
      <c r="F112" s="4">
        <v>188781</v>
      </c>
      <c r="G112" s="4">
        <v>389</v>
      </c>
      <c r="H112" s="4">
        <v>189170</v>
      </c>
    </row>
    <row r="113" spans="1:8" x14ac:dyDescent="0.3">
      <c r="A113" s="4">
        <v>660</v>
      </c>
      <c r="B113" s="4">
        <v>880938</v>
      </c>
      <c r="C113" s="4">
        <v>217666</v>
      </c>
      <c r="D113" s="4">
        <v>-7886</v>
      </c>
      <c r="E113" s="4">
        <v>225552</v>
      </c>
      <c r="F113" s="4">
        <v>119924</v>
      </c>
      <c r="G113" s="4">
        <v>816</v>
      </c>
      <c r="H113" s="4">
        <v>120740</v>
      </c>
    </row>
    <row r="114" spans="1:8" x14ac:dyDescent="0.3">
      <c r="A114" s="4">
        <v>733</v>
      </c>
      <c r="B114" s="4">
        <v>465641</v>
      </c>
      <c r="C114" s="4">
        <v>189114</v>
      </c>
      <c r="D114" s="4">
        <v>2917</v>
      </c>
      <c r="E114" s="4">
        <v>186197</v>
      </c>
      <c r="F114" s="4">
        <v>44099</v>
      </c>
      <c r="G114" s="4">
        <v>-598</v>
      </c>
      <c r="H114" s="4">
        <v>43501</v>
      </c>
    </row>
    <row r="115" spans="1:8" x14ac:dyDescent="0.3">
      <c r="A115" s="4">
        <v>532</v>
      </c>
      <c r="B115" s="4">
        <v>558093</v>
      </c>
      <c r="C115" s="4">
        <v>107689</v>
      </c>
      <c r="D115" s="4">
        <v>0</v>
      </c>
      <c r="E115" s="4">
        <v>107689</v>
      </c>
      <c r="F115" s="4">
        <v>0</v>
      </c>
      <c r="G115" s="4">
        <v>0</v>
      </c>
      <c r="H115" s="4">
        <v>0</v>
      </c>
    </row>
    <row r="116" spans="1:8" x14ac:dyDescent="0.3">
      <c r="A116" s="4">
        <v>883</v>
      </c>
      <c r="B116" s="4">
        <v>2271847</v>
      </c>
      <c r="C116" s="4">
        <v>491186.48982052028</v>
      </c>
      <c r="D116" s="4">
        <v>0</v>
      </c>
      <c r="E116" s="4">
        <v>491186.48982052028</v>
      </c>
      <c r="F116" s="4">
        <v>351518.00431129214</v>
      </c>
      <c r="G116" s="4">
        <v>0</v>
      </c>
      <c r="H116" s="4">
        <v>351518.00431129214</v>
      </c>
    </row>
    <row r="117" spans="1:8" x14ac:dyDescent="0.3">
      <c r="A117" s="4">
        <v>136</v>
      </c>
      <c r="B117" s="4">
        <v>1142269</v>
      </c>
      <c r="C117" s="4">
        <v>278602</v>
      </c>
      <c r="D117" s="4">
        <v>-7305</v>
      </c>
      <c r="E117" s="4">
        <v>285907</v>
      </c>
      <c r="F117" s="4">
        <v>135223</v>
      </c>
      <c r="G117" s="4">
        <v>-483</v>
      </c>
      <c r="H117" s="4">
        <v>134740</v>
      </c>
    </row>
    <row r="118" spans="1:8" x14ac:dyDescent="0.3">
      <c r="A118" s="4">
        <v>748</v>
      </c>
      <c r="B118" s="4">
        <v>378366</v>
      </c>
      <c r="C118" s="4">
        <v>107419</v>
      </c>
      <c r="D118" s="4">
        <v>-2317</v>
      </c>
      <c r="E118" s="4">
        <v>109736</v>
      </c>
      <c r="F118" s="4">
        <v>28327</v>
      </c>
      <c r="G118" s="4">
        <v>-2413</v>
      </c>
      <c r="H118" s="4">
        <v>25914</v>
      </c>
    </row>
    <row r="119" spans="1:8" x14ac:dyDescent="0.3">
      <c r="A119" s="4">
        <v>296</v>
      </c>
      <c r="B119" s="4">
        <v>998842</v>
      </c>
      <c r="C119" s="4">
        <v>321203</v>
      </c>
      <c r="D119" s="4">
        <v>-4059</v>
      </c>
      <c r="E119" s="4">
        <v>325262</v>
      </c>
      <c r="F119" s="4">
        <v>73397</v>
      </c>
      <c r="G119" s="4">
        <v>-2166</v>
      </c>
      <c r="H119" s="4">
        <v>71231</v>
      </c>
    </row>
    <row r="120" spans="1:8" x14ac:dyDescent="0.3">
      <c r="A120" s="4">
        <v>184</v>
      </c>
      <c r="B120" s="4">
        <v>683251</v>
      </c>
      <c r="C120" s="4">
        <v>193988</v>
      </c>
      <c r="D120" s="4">
        <v>593</v>
      </c>
      <c r="E120" s="4">
        <v>193395</v>
      </c>
      <c r="F120" s="4">
        <v>37373</v>
      </c>
      <c r="G120" s="4">
        <v>247</v>
      </c>
      <c r="H120" s="4">
        <v>37620</v>
      </c>
    </row>
    <row r="121" spans="1:8" x14ac:dyDescent="0.3">
      <c r="A121" s="4">
        <v>702</v>
      </c>
      <c r="B121" s="4">
        <v>1103383</v>
      </c>
      <c r="C121" s="4">
        <v>356865</v>
      </c>
      <c r="D121" s="4">
        <v>0</v>
      </c>
      <c r="E121" s="4">
        <v>356865</v>
      </c>
      <c r="F121" s="4">
        <v>112167</v>
      </c>
      <c r="G121" s="4">
        <v>0</v>
      </c>
      <c r="H121" s="4">
        <v>112167</v>
      </c>
    </row>
    <row r="122" spans="1:8" x14ac:dyDescent="0.3">
      <c r="A122" s="4">
        <v>999</v>
      </c>
      <c r="B122" s="4">
        <v>2546554</v>
      </c>
      <c r="C122" s="4">
        <v>581756</v>
      </c>
      <c r="D122" s="4">
        <v>-474</v>
      </c>
      <c r="E122" s="4">
        <v>582230</v>
      </c>
      <c r="F122" s="4">
        <v>264166</v>
      </c>
      <c r="G122" s="4">
        <v>1917</v>
      </c>
      <c r="H122" s="4">
        <v>266083</v>
      </c>
    </row>
    <row r="123" spans="1:8" x14ac:dyDescent="0.3">
      <c r="A123" s="4">
        <v>822</v>
      </c>
      <c r="B123" s="4">
        <v>2342425</v>
      </c>
      <c r="C123" s="4">
        <v>0</v>
      </c>
      <c r="D123" s="4">
        <v>0</v>
      </c>
      <c r="E123" s="4">
        <v>0</v>
      </c>
      <c r="F123" s="4">
        <v>301740</v>
      </c>
      <c r="G123" s="4">
        <v>0</v>
      </c>
      <c r="H123" s="4">
        <v>301740</v>
      </c>
    </row>
    <row r="124" spans="1:8" x14ac:dyDescent="0.3">
      <c r="A124" s="4">
        <v>183</v>
      </c>
      <c r="B124" s="4">
        <v>453752</v>
      </c>
      <c r="C124" s="4">
        <v>176727.52335556695</v>
      </c>
      <c r="D124" s="4">
        <v>0</v>
      </c>
      <c r="E124" s="4">
        <v>176727.52335556695</v>
      </c>
      <c r="F124" s="4">
        <v>97180.922592913514</v>
      </c>
      <c r="G124" s="4">
        <v>0</v>
      </c>
      <c r="H124" s="4">
        <v>97180.922592913514</v>
      </c>
    </row>
    <row r="125" spans="1:8" x14ac:dyDescent="0.3">
      <c r="A125" s="4">
        <v>164</v>
      </c>
      <c r="B125" s="4">
        <v>1358620</v>
      </c>
      <c r="C125" s="4">
        <v>281509.45974238031</v>
      </c>
      <c r="D125" s="4">
        <v>0</v>
      </c>
      <c r="E125" s="4">
        <v>281509.45974238031</v>
      </c>
      <c r="F125" s="4">
        <v>353734.97362649383</v>
      </c>
      <c r="G125" s="4">
        <v>0</v>
      </c>
      <c r="H125" s="4">
        <v>353734.97362649383</v>
      </c>
    </row>
    <row r="126" spans="1:8" x14ac:dyDescent="0.3">
      <c r="A126" s="4">
        <v>157</v>
      </c>
      <c r="B126" s="4">
        <v>949107</v>
      </c>
      <c r="C126" s="4">
        <v>350372</v>
      </c>
      <c r="D126" s="4">
        <v>3411</v>
      </c>
      <c r="E126" s="4">
        <v>346961</v>
      </c>
      <c r="F126" s="4">
        <v>75014</v>
      </c>
      <c r="G126" s="4">
        <v>1051</v>
      </c>
      <c r="H126" s="4">
        <v>76065</v>
      </c>
    </row>
    <row r="127" spans="1:8" x14ac:dyDescent="0.3">
      <c r="A127" s="4">
        <v>951</v>
      </c>
      <c r="B127" s="4">
        <v>1640529</v>
      </c>
      <c r="C127" s="4">
        <v>392596</v>
      </c>
      <c r="D127" s="4">
        <v>0</v>
      </c>
      <c r="E127" s="4">
        <v>392596</v>
      </c>
      <c r="F127" s="4">
        <v>107358</v>
      </c>
      <c r="G127" s="4">
        <v>0</v>
      </c>
      <c r="H127" s="4">
        <v>107358</v>
      </c>
    </row>
    <row r="128" spans="1:8" x14ac:dyDescent="0.3">
      <c r="A128" s="4">
        <v>314</v>
      </c>
      <c r="B128" s="4">
        <v>918981</v>
      </c>
      <c r="C128" s="4">
        <v>336351</v>
      </c>
      <c r="D128" s="4">
        <v>0</v>
      </c>
      <c r="E128" s="4">
        <v>336351</v>
      </c>
      <c r="F128" s="4">
        <v>98200</v>
      </c>
      <c r="G128" s="4">
        <v>0</v>
      </c>
      <c r="H128" s="4">
        <v>98200</v>
      </c>
    </row>
    <row r="129" spans="1:8" x14ac:dyDescent="0.3">
      <c r="A129" s="4">
        <v>576</v>
      </c>
      <c r="B129" s="4">
        <v>921072</v>
      </c>
      <c r="C129" s="4">
        <v>240500</v>
      </c>
      <c r="D129" s="4">
        <v>0</v>
      </c>
      <c r="E129" s="4">
        <v>240500</v>
      </c>
      <c r="F129" s="4">
        <v>80759</v>
      </c>
      <c r="G129" s="4">
        <v>0</v>
      </c>
      <c r="H129" s="4">
        <v>80759</v>
      </c>
    </row>
    <row r="130" spans="1:8" x14ac:dyDescent="0.3">
      <c r="A130" s="4">
        <v>514</v>
      </c>
      <c r="B130" s="4">
        <v>954532</v>
      </c>
      <c r="C130" s="4">
        <v>230646</v>
      </c>
      <c r="D130" s="4">
        <v>0</v>
      </c>
      <c r="E130" s="4">
        <v>230646</v>
      </c>
      <c r="F130" s="4">
        <v>86944</v>
      </c>
      <c r="G130" s="4">
        <v>0</v>
      </c>
      <c r="H130" s="4">
        <v>86944</v>
      </c>
    </row>
    <row r="131" spans="1:8" x14ac:dyDescent="0.3">
      <c r="A131" s="4">
        <v>836</v>
      </c>
      <c r="B131" s="4">
        <v>1833166</v>
      </c>
      <c r="C131" s="4">
        <v>518964</v>
      </c>
      <c r="D131" s="4">
        <v>0</v>
      </c>
      <c r="E131" s="4">
        <v>518964</v>
      </c>
      <c r="F131" s="4">
        <v>202536</v>
      </c>
      <c r="G131" s="4">
        <v>0</v>
      </c>
      <c r="H131" s="4">
        <v>202536</v>
      </c>
    </row>
    <row r="132" spans="1:8" x14ac:dyDescent="0.3">
      <c r="A132" s="4">
        <v>783</v>
      </c>
      <c r="B132" s="4">
        <v>723982</v>
      </c>
      <c r="C132" s="4">
        <v>340351</v>
      </c>
      <c r="D132" s="4">
        <v>-232</v>
      </c>
      <c r="E132" s="4">
        <v>340583</v>
      </c>
      <c r="F132" s="4">
        <v>151289</v>
      </c>
      <c r="G132" s="4">
        <v>40</v>
      </c>
      <c r="H132" s="4">
        <v>151329</v>
      </c>
    </row>
    <row r="133" spans="1:8" x14ac:dyDescent="0.3">
      <c r="A133" s="4">
        <v>594</v>
      </c>
      <c r="B133" s="4">
        <v>751753</v>
      </c>
      <c r="C133" s="4">
        <v>317869</v>
      </c>
      <c r="D133" s="4">
        <v>-1185</v>
      </c>
      <c r="E133" s="4">
        <v>319054</v>
      </c>
      <c r="F133" s="4">
        <v>103771</v>
      </c>
      <c r="G133" s="4">
        <v>1229</v>
      </c>
      <c r="H133" s="4">
        <v>105000</v>
      </c>
    </row>
    <row r="134" spans="1:8" x14ac:dyDescent="0.3">
      <c r="A134" s="4">
        <v>295</v>
      </c>
      <c r="B134" s="4">
        <v>868767</v>
      </c>
      <c r="C134" s="4">
        <v>217276</v>
      </c>
      <c r="D134" s="4">
        <v>-180</v>
      </c>
      <c r="E134" s="4">
        <v>217456</v>
      </c>
      <c r="F134" s="4">
        <v>51834</v>
      </c>
      <c r="G134" s="4">
        <v>347</v>
      </c>
      <c r="H134" s="4">
        <v>52181</v>
      </c>
    </row>
    <row r="135" spans="1:8" x14ac:dyDescent="0.3">
      <c r="A135" s="4">
        <v>374</v>
      </c>
      <c r="B135" s="4">
        <v>986148</v>
      </c>
      <c r="C135" s="4">
        <v>517899.38785160088</v>
      </c>
      <c r="D135" s="4">
        <v>0</v>
      </c>
      <c r="E135" s="4">
        <v>517899.38785160088</v>
      </c>
      <c r="F135" s="4">
        <v>122215.07573412744</v>
      </c>
      <c r="G135" s="4">
        <v>0</v>
      </c>
      <c r="H135" s="4">
        <v>122215.07573412744</v>
      </c>
    </row>
    <row r="136" spans="1:8" x14ac:dyDescent="0.3">
      <c r="A136" s="4">
        <v>623</v>
      </c>
      <c r="B136" s="4">
        <v>994438</v>
      </c>
      <c r="C136" s="4">
        <v>265616</v>
      </c>
      <c r="D136" s="4">
        <v>0</v>
      </c>
      <c r="E136" s="4">
        <v>265616</v>
      </c>
      <c r="F136" s="4">
        <v>61892</v>
      </c>
      <c r="G136" s="4">
        <v>0</v>
      </c>
      <c r="H136" s="4">
        <v>61892</v>
      </c>
    </row>
    <row r="137" spans="1:8" x14ac:dyDescent="0.3">
      <c r="A137" s="4">
        <v>601</v>
      </c>
      <c r="B137" s="4">
        <v>1516217</v>
      </c>
      <c r="C137" s="4">
        <v>399943</v>
      </c>
      <c r="D137" s="4">
        <v>3611</v>
      </c>
      <c r="E137" s="4">
        <v>396332</v>
      </c>
      <c r="F137" s="4">
        <v>214373</v>
      </c>
      <c r="G137" s="4">
        <v>1960</v>
      </c>
      <c r="H137" s="4">
        <v>216333</v>
      </c>
    </row>
    <row r="138" spans="1:8" x14ac:dyDescent="0.3">
      <c r="A138" s="4">
        <v>412</v>
      </c>
      <c r="B138" s="4">
        <v>226801</v>
      </c>
      <c r="C138" s="4">
        <v>127070</v>
      </c>
      <c r="D138" s="4">
        <v>-4818</v>
      </c>
      <c r="E138" s="4">
        <v>131888</v>
      </c>
      <c r="F138" s="4">
        <v>26360</v>
      </c>
      <c r="G138" s="4">
        <v>-790</v>
      </c>
      <c r="H138" s="4">
        <v>25570</v>
      </c>
    </row>
    <row r="139" spans="1:8" x14ac:dyDescent="0.3">
      <c r="A139" s="4">
        <v>421</v>
      </c>
      <c r="B139" s="4">
        <v>484090</v>
      </c>
      <c r="C139" s="4">
        <v>168381</v>
      </c>
      <c r="D139" s="4">
        <v>0</v>
      </c>
      <c r="E139" s="4">
        <v>168381</v>
      </c>
      <c r="F139" s="4">
        <v>91246</v>
      </c>
      <c r="G139" s="4">
        <v>0</v>
      </c>
      <c r="H139" s="4">
        <v>91246</v>
      </c>
    </row>
    <row r="140" spans="1:8" x14ac:dyDescent="0.3">
      <c r="A140" s="4">
        <v>236</v>
      </c>
      <c r="B140" s="4">
        <v>1150992</v>
      </c>
      <c r="C140" s="4">
        <v>494062</v>
      </c>
      <c r="D140" s="4">
        <v>-1898</v>
      </c>
      <c r="E140" s="4">
        <v>495960</v>
      </c>
      <c r="F140" s="4">
        <v>218991</v>
      </c>
      <c r="G140" s="4">
        <v>1669</v>
      </c>
      <c r="H140" s="4">
        <v>220660</v>
      </c>
    </row>
    <row r="141" spans="1:8" x14ac:dyDescent="0.3">
      <c r="A141" s="4">
        <v>135</v>
      </c>
      <c r="B141" s="4">
        <v>507441</v>
      </c>
      <c r="C141" s="4">
        <v>216265</v>
      </c>
      <c r="D141" s="4">
        <v>0</v>
      </c>
      <c r="E141" s="4">
        <v>216265</v>
      </c>
      <c r="F141" s="4">
        <v>0</v>
      </c>
      <c r="G141" s="4">
        <v>0</v>
      </c>
      <c r="H141" s="4">
        <v>0</v>
      </c>
    </row>
    <row r="142" spans="1:8" x14ac:dyDescent="0.3">
      <c r="A142" s="4">
        <v>261</v>
      </c>
      <c r="B142" s="4">
        <v>1190304</v>
      </c>
      <c r="C142" s="4">
        <v>276941</v>
      </c>
      <c r="D142" s="4">
        <v>0</v>
      </c>
      <c r="E142" s="4">
        <v>276941</v>
      </c>
      <c r="F142" s="4">
        <v>232484</v>
      </c>
      <c r="G142" s="4">
        <v>0</v>
      </c>
      <c r="H142" s="4">
        <v>232484</v>
      </c>
    </row>
    <row r="143" spans="1:8" x14ac:dyDescent="0.3">
      <c r="A143" s="4">
        <v>937</v>
      </c>
      <c r="B143" s="4">
        <v>446753</v>
      </c>
      <c r="C143" s="4">
        <v>152055</v>
      </c>
      <c r="D143" s="4">
        <v>-1327</v>
      </c>
      <c r="E143" s="4">
        <v>153382</v>
      </c>
      <c r="F143" s="4">
        <v>81537</v>
      </c>
      <c r="G143" s="4">
        <v>-50</v>
      </c>
      <c r="H143" s="4">
        <v>81487</v>
      </c>
    </row>
    <row r="144" spans="1:8" x14ac:dyDescent="0.3">
      <c r="A144" s="4">
        <v>636</v>
      </c>
      <c r="B144" s="4">
        <v>328682</v>
      </c>
      <c r="C144" s="4">
        <v>98452</v>
      </c>
      <c r="D144" s="4">
        <v>-260</v>
      </c>
      <c r="E144" s="4">
        <v>98712</v>
      </c>
      <c r="F144" s="4">
        <v>33099</v>
      </c>
      <c r="G144" s="4">
        <v>1003</v>
      </c>
      <c r="H144" s="4">
        <v>34102</v>
      </c>
    </row>
    <row r="145" spans="1:8" x14ac:dyDescent="0.3">
      <c r="A145" s="4">
        <v>128</v>
      </c>
      <c r="B145" s="4">
        <v>849888</v>
      </c>
      <c r="C145" s="4">
        <v>264519</v>
      </c>
      <c r="D145" s="4">
        <v>-3117</v>
      </c>
      <c r="E145" s="4">
        <v>267636</v>
      </c>
      <c r="F145" s="4">
        <v>93161</v>
      </c>
      <c r="G145" s="4">
        <v>-942</v>
      </c>
      <c r="H145" s="4">
        <v>92219</v>
      </c>
    </row>
    <row r="146" spans="1:8" x14ac:dyDescent="0.3">
      <c r="A146" s="4">
        <v>644</v>
      </c>
      <c r="B146" s="4">
        <v>619655</v>
      </c>
      <c r="C146" s="4">
        <v>161363</v>
      </c>
      <c r="D146" s="4">
        <v>-2720</v>
      </c>
      <c r="E146" s="4">
        <v>164083</v>
      </c>
      <c r="F146" s="4">
        <v>30219</v>
      </c>
      <c r="G146" s="4">
        <v>-2629</v>
      </c>
      <c r="H146" s="4">
        <v>27590</v>
      </c>
    </row>
    <row r="147" spans="1:8" x14ac:dyDescent="0.3">
      <c r="A147" s="4">
        <v>776</v>
      </c>
      <c r="B147" s="4">
        <v>430028</v>
      </c>
      <c r="C147" s="4">
        <v>247210</v>
      </c>
      <c r="D147" s="4">
        <v>0</v>
      </c>
      <c r="E147" s="4">
        <v>247210</v>
      </c>
      <c r="F147" s="4">
        <v>96188</v>
      </c>
      <c r="G147" s="4">
        <v>0</v>
      </c>
      <c r="H147" s="4">
        <v>96188</v>
      </c>
    </row>
    <row r="148" spans="1:8" x14ac:dyDescent="0.3">
      <c r="A148" s="4">
        <v>291</v>
      </c>
      <c r="B148" s="4">
        <v>3697037</v>
      </c>
      <c r="C148" s="4">
        <v>894920</v>
      </c>
      <c r="D148" s="4">
        <v>0</v>
      </c>
      <c r="E148" s="4">
        <v>894920</v>
      </c>
      <c r="F148" s="4">
        <v>301064</v>
      </c>
      <c r="G148" s="4">
        <v>0</v>
      </c>
      <c r="H148" s="4">
        <v>301064</v>
      </c>
    </row>
    <row r="149" spans="1:8" x14ac:dyDescent="0.3">
      <c r="A149" s="4">
        <v>928</v>
      </c>
      <c r="B149" s="4">
        <v>899294</v>
      </c>
      <c r="C149" s="4">
        <v>112394</v>
      </c>
      <c r="D149" s="4">
        <v>487</v>
      </c>
      <c r="E149" s="4">
        <v>111907</v>
      </c>
      <c r="F149" s="4">
        <v>48056</v>
      </c>
      <c r="G149" s="4">
        <v>-6624</v>
      </c>
      <c r="H149" s="4">
        <v>41432</v>
      </c>
    </row>
    <row r="150" spans="1:8" x14ac:dyDescent="0.3">
      <c r="A150" s="4">
        <v>766</v>
      </c>
      <c r="B150" s="4">
        <v>636708</v>
      </c>
      <c r="C150" s="4">
        <v>295480.49976678449</v>
      </c>
      <c r="D150" s="4">
        <v>0</v>
      </c>
      <c r="E150" s="4">
        <v>295480.49976678449</v>
      </c>
      <c r="F150" s="4">
        <v>135847.09572217561</v>
      </c>
      <c r="G150" s="4">
        <v>0</v>
      </c>
      <c r="H150" s="4">
        <v>135847.09572217561</v>
      </c>
    </row>
    <row r="151" spans="1:8" x14ac:dyDescent="0.3">
      <c r="A151" s="4">
        <v>684</v>
      </c>
      <c r="B151" s="4">
        <v>492264</v>
      </c>
      <c r="C151" s="4">
        <v>210845</v>
      </c>
      <c r="D151" s="4">
        <v>1962</v>
      </c>
      <c r="E151" s="4">
        <v>208883</v>
      </c>
      <c r="F151" s="4">
        <v>38972</v>
      </c>
      <c r="G151" s="4">
        <v>1036</v>
      </c>
      <c r="H151" s="4">
        <v>40008</v>
      </c>
    </row>
    <row r="152" spans="1:8" x14ac:dyDescent="0.3">
      <c r="A152" s="4">
        <v>474</v>
      </c>
      <c r="B152" s="4">
        <v>279402</v>
      </c>
      <c r="C152" s="4">
        <v>138770</v>
      </c>
      <c r="D152" s="4">
        <v>1269</v>
      </c>
      <c r="E152" s="4">
        <v>137501</v>
      </c>
      <c r="F152" s="4">
        <v>24321</v>
      </c>
      <c r="G152" s="4">
        <v>-472</v>
      </c>
      <c r="H152" s="4">
        <v>23849</v>
      </c>
    </row>
    <row r="153" spans="1:8" x14ac:dyDescent="0.3">
      <c r="A153" s="4">
        <v>648</v>
      </c>
      <c r="B153" s="4">
        <v>977383</v>
      </c>
      <c r="C153" s="4">
        <v>222100</v>
      </c>
      <c r="D153" s="4">
        <v>-53</v>
      </c>
      <c r="E153" s="4">
        <v>222153</v>
      </c>
      <c r="F153" s="4">
        <v>60559</v>
      </c>
      <c r="G153" s="4">
        <v>2666</v>
      </c>
      <c r="H153" s="4">
        <v>63225</v>
      </c>
    </row>
    <row r="154" spans="1:8" x14ac:dyDescent="0.3">
      <c r="A154" s="4">
        <v>121</v>
      </c>
      <c r="B154" s="4">
        <v>640338</v>
      </c>
      <c r="C154" s="4">
        <v>381520</v>
      </c>
      <c r="D154" s="4">
        <v>11302</v>
      </c>
      <c r="E154" s="4">
        <v>370218</v>
      </c>
      <c r="F154" s="4">
        <v>114821</v>
      </c>
      <c r="G154" s="4">
        <v>-813</v>
      </c>
      <c r="H154" s="4">
        <v>114008</v>
      </c>
    </row>
    <row r="155" spans="1:8" x14ac:dyDescent="0.3">
      <c r="A155" s="4">
        <v>657</v>
      </c>
      <c r="B155" s="4">
        <v>1031665</v>
      </c>
      <c r="C155" s="4">
        <v>1192123.4323976815</v>
      </c>
      <c r="D155" s="4">
        <v>0</v>
      </c>
      <c r="E155" s="4">
        <v>1192123.4323976815</v>
      </c>
      <c r="F155" s="4">
        <v>194732.41653166738</v>
      </c>
      <c r="G155" s="4">
        <v>0</v>
      </c>
      <c r="H155" s="4">
        <v>194732.41653166738</v>
      </c>
    </row>
    <row r="156" spans="1:8" x14ac:dyDescent="0.3">
      <c r="A156" s="4">
        <v>709</v>
      </c>
      <c r="B156" s="4">
        <v>368064</v>
      </c>
      <c r="C156" s="4">
        <v>218830</v>
      </c>
      <c r="D156" s="4">
        <v>-568</v>
      </c>
      <c r="E156" s="4">
        <v>219398</v>
      </c>
      <c r="F156" s="4">
        <v>25374</v>
      </c>
      <c r="G156" s="4">
        <v>840</v>
      </c>
      <c r="H156" s="4">
        <v>26214</v>
      </c>
    </row>
    <row r="157" spans="1:8" x14ac:dyDescent="0.3">
      <c r="A157" s="4">
        <v>572</v>
      </c>
      <c r="B157" s="4">
        <v>1079458</v>
      </c>
      <c r="C157" s="4">
        <v>354220</v>
      </c>
      <c r="D157" s="4">
        <v>-22414</v>
      </c>
      <c r="E157" s="4">
        <v>376634</v>
      </c>
      <c r="F157" s="4">
        <v>107224</v>
      </c>
      <c r="G157" s="4">
        <v>-6892</v>
      </c>
      <c r="H157" s="4">
        <v>100332</v>
      </c>
    </row>
    <row r="158" spans="1:8" x14ac:dyDescent="0.3">
      <c r="A158" s="4">
        <v>602</v>
      </c>
      <c r="B158" s="4">
        <v>671326</v>
      </c>
      <c r="C158" s="4">
        <v>120089</v>
      </c>
      <c r="D158" s="4">
        <v>1383</v>
      </c>
      <c r="E158" s="4">
        <v>118706</v>
      </c>
      <c r="F158" s="4">
        <v>166717</v>
      </c>
      <c r="G158" s="4">
        <v>-6144</v>
      </c>
      <c r="H158" s="4">
        <v>160573</v>
      </c>
    </row>
    <row r="159" spans="1:8" x14ac:dyDescent="0.3">
      <c r="A159" s="4">
        <v>326</v>
      </c>
      <c r="B159" s="4">
        <v>1535350</v>
      </c>
      <c r="C159" s="4">
        <v>301760</v>
      </c>
      <c r="D159" s="4">
        <v>-8279</v>
      </c>
      <c r="E159" s="4">
        <v>310039</v>
      </c>
      <c r="F159" s="4">
        <v>164800</v>
      </c>
      <c r="G159" s="4">
        <v>-904</v>
      </c>
      <c r="H159" s="4">
        <v>163896</v>
      </c>
    </row>
    <row r="160" spans="1:8" x14ac:dyDescent="0.3">
      <c r="A160" s="4">
        <v>346</v>
      </c>
      <c r="B160" s="4">
        <v>372126</v>
      </c>
      <c r="C160" s="4">
        <v>150837</v>
      </c>
      <c r="D160" s="4">
        <v>0</v>
      </c>
      <c r="E160" s="4">
        <v>150837</v>
      </c>
      <c r="F160" s="4">
        <v>47523</v>
      </c>
      <c r="G160" s="4">
        <v>0</v>
      </c>
      <c r="H160" s="4">
        <v>47523</v>
      </c>
    </row>
    <row r="161" spans="1:8" x14ac:dyDescent="0.3">
      <c r="A161" s="4">
        <v>381</v>
      </c>
      <c r="B161" s="4">
        <v>1164121</v>
      </c>
      <c r="C161" s="4">
        <v>349890</v>
      </c>
      <c r="D161" s="4">
        <v>0</v>
      </c>
      <c r="E161" s="4">
        <v>349890</v>
      </c>
      <c r="F161" s="4">
        <v>174137</v>
      </c>
      <c r="G161" s="4">
        <v>0</v>
      </c>
      <c r="H161" s="4">
        <v>174137</v>
      </c>
    </row>
    <row r="162" spans="1:8" x14ac:dyDescent="0.3">
      <c r="A162" s="4">
        <v>989</v>
      </c>
      <c r="B162" s="4">
        <v>618153</v>
      </c>
      <c r="C162" s="4">
        <v>185179</v>
      </c>
      <c r="D162" s="4">
        <v>0</v>
      </c>
      <c r="E162" s="4">
        <v>185179</v>
      </c>
      <c r="F162" s="4">
        <v>141445</v>
      </c>
      <c r="G162" s="4">
        <v>0</v>
      </c>
      <c r="H162" s="4">
        <v>141445</v>
      </c>
    </row>
    <row r="163" spans="1:8" x14ac:dyDescent="0.3">
      <c r="A163" s="4">
        <v>322</v>
      </c>
      <c r="B163" s="4">
        <v>1246493</v>
      </c>
      <c r="C163" s="4">
        <v>420150</v>
      </c>
      <c r="D163" s="4">
        <v>0</v>
      </c>
      <c r="E163" s="4">
        <v>420150</v>
      </c>
      <c r="F163" s="4">
        <v>116330</v>
      </c>
      <c r="G163" s="4">
        <v>0</v>
      </c>
      <c r="H163" s="4">
        <v>116330</v>
      </c>
    </row>
    <row r="164" spans="1:8" x14ac:dyDescent="0.3">
      <c r="A164" s="4">
        <v>738</v>
      </c>
      <c r="B164" s="4">
        <v>538287</v>
      </c>
      <c r="C164" s="4">
        <v>170472</v>
      </c>
      <c r="D164" s="4">
        <v>0</v>
      </c>
      <c r="E164" s="4">
        <v>170472</v>
      </c>
      <c r="F164" s="4">
        <v>74362</v>
      </c>
      <c r="G164" s="4">
        <v>0</v>
      </c>
      <c r="H164" s="4">
        <v>74362</v>
      </c>
    </row>
    <row r="165" spans="1:8" x14ac:dyDescent="0.3">
      <c r="A165" s="4">
        <v>965</v>
      </c>
      <c r="B165" s="4">
        <v>381206</v>
      </c>
      <c r="C165" s="4">
        <v>195903</v>
      </c>
      <c r="D165" s="4">
        <v>-3213</v>
      </c>
      <c r="E165" s="4">
        <v>199116</v>
      </c>
      <c r="F165" s="4">
        <v>87985</v>
      </c>
      <c r="G165" s="4">
        <v>2115</v>
      </c>
      <c r="H165" s="4">
        <v>90100</v>
      </c>
    </row>
    <row r="166" spans="1:8" x14ac:dyDescent="0.3">
      <c r="A166" s="4">
        <v>564</v>
      </c>
      <c r="B166" s="4">
        <v>1200815</v>
      </c>
      <c r="C166" s="4">
        <v>462435</v>
      </c>
      <c r="D166" s="4">
        <v>0</v>
      </c>
      <c r="E166" s="4">
        <v>462435</v>
      </c>
      <c r="F166" s="4">
        <v>287833</v>
      </c>
      <c r="G166" s="4">
        <v>0</v>
      </c>
      <c r="H166" s="4">
        <v>287833</v>
      </c>
    </row>
    <row r="167" spans="1:8" x14ac:dyDescent="0.3">
      <c r="A167" s="4">
        <v>773</v>
      </c>
      <c r="B167" s="4">
        <v>953346</v>
      </c>
      <c r="C167" s="4">
        <v>202030</v>
      </c>
      <c r="D167" s="4">
        <v>0</v>
      </c>
      <c r="E167" s="4">
        <v>202030</v>
      </c>
      <c r="F167" s="4">
        <v>55051</v>
      </c>
      <c r="G167" s="4">
        <v>0</v>
      </c>
      <c r="H167" s="4">
        <v>55051</v>
      </c>
    </row>
    <row r="168" spans="1:8" x14ac:dyDescent="0.3">
      <c r="A168" s="4">
        <v>205</v>
      </c>
      <c r="B168" s="4">
        <v>735495</v>
      </c>
      <c r="C168" s="4">
        <v>328841</v>
      </c>
      <c r="D168" s="4">
        <v>0</v>
      </c>
      <c r="E168" s="4">
        <v>328841</v>
      </c>
      <c r="F168" s="4">
        <v>156441</v>
      </c>
      <c r="G168" s="4">
        <v>0</v>
      </c>
      <c r="H168" s="4">
        <v>156441</v>
      </c>
    </row>
    <row r="169" spans="1:8" x14ac:dyDescent="0.3">
      <c r="A169" s="4">
        <v>231</v>
      </c>
      <c r="B169" s="4">
        <v>642244</v>
      </c>
      <c r="C169" s="4">
        <v>181099</v>
      </c>
      <c r="D169" s="4">
        <v>0</v>
      </c>
      <c r="E169" s="4">
        <v>181099</v>
      </c>
      <c r="F169" s="4">
        <v>0</v>
      </c>
      <c r="G169" s="4">
        <v>0</v>
      </c>
      <c r="H169" s="4">
        <v>0</v>
      </c>
    </row>
    <row r="170" spans="1:8" x14ac:dyDescent="0.3">
      <c r="A170" s="4">
        <v>801</v>
      </c>
      <c r="B170" s="4">
        <v>230265</v>
      </c>
      <c r="C170" s="4">
        <v>133447</v>
      </c>
      <c r="D170" s="4">
        <v>-567</v>
      </c>
      <c r="E170" s="4">
        <v>134014</v>
      </c>
      <c r="F170" s="4">
        <v>41903</v>
      </c>
      <c r="G170" s="4">
        <v>-752</v>
      </c>
      <c r="H170" s="4">
        <v>41151</v>
      </c>
    </row>
    <row r="171" spans="1:8" x14ac:dyDescent="0.3">
      <c r="A171" s="4">
        <v>203</v>
      </c>
      <c r="B171" s="4">
        <v>1239695</v>
      </c>
      <c r="C171" s="4">
        <v>293193</v>
      </c>
      <c r="D171" s="4">
        <v>-5161</v>
      </c>
      <c r="E171" s="4">
        <v>298354</v>
      </c>
      <c r="F171" s="4">
        <v>24118</v>
      </c>
      <c r="G171" s="4">
        <v>1021</v>
      </c>
      <c r="H171" s="4">
        <v>25139</v>
      </c>
    </row>
    <row r="172" spans="1:8" x14ac:dyDescent="0.3">
      <c r="A172" s="4">
        <v>615</v>
      </c>
      <c r="B172" s="4">
        <v>686925</v>
      </c>
      <c r="C172" s="4">
        <v>292718</v>
      </c>
      <c r="D172" s="4">
        <v>7165</v>
      </c>
      <c r="E172" s="4">
        <v>285553</v>
      </c>
      <c r="F172" s="4">
        <v>131230</v>
      </c>
      <c r="G172" s="4">
        <v>-2709</v>
      </c>
      <c r="H172" s="4">
        <v>128521</v>
      </c>
    </row>
    <row r="173" spans="1:8" x14ac:dyDescent="0.3">
      <c r="A173" s="4">
        <v>357</v>
      </c>
      <c r="B173" s="4">
        <v>474042</v>
      </c>
      <c r="C173" s="4">
        <v>262770</v>
      </c>
      <c r="D173" s="4">
        <v>-1802</v>
      </c>
      <c r="E173" s="4">
        <v>264572</v>
      </c>
      <c r="F173" s="4">
        <v>110946</v>
      </c>
      <c r="G173" s="4">
        <v>-1908</v>
      </c>
      <c r="H173" s="4">
        <v>109038</v>
      </c>
    </row>
    <row r="174" spans="1:8" x14ac:dyDescent="0.3">
      <c r="A174" s="4">
        <v>206</v>
      </c>
      <c r="B174" s="4">
        <v>879406</v>
      </c>
      <c r="C174" s="4">
        <v>331996</v>
      </c>
      <c r="D174" s="4">
        <v>-7695</v>
      </c>
      <c r="E174" s="4">
        <v>339691</v>
      </c>
      <c r="F174" s="4">
        <v>154089</v>
      </c>
      <c r="G174" s="4">
        <v>-1483</v>
      </c>
      <c r="H174" s="4">
        <v>152606</v>
      </c>
    </row>
    <row r="175" spans="1:8" x14ac:dyDescent="0.3">
      <c r="A175" s="4">
        <v>268</v>
      </c>
      <c r="B175" s="4">
        <v>853538</v>
      </c>
      <c r="C175" s="4">
        <v>530321</v>
      </c>
      <c r="D175" s="4">
        <v>-1808</v>
      </c>
      <c r="E175" s="4">
        <v>532129</v>
      </c>
      <c r="F175" s="4">
        <v>157785</v>
      </c>
      <c r="G175" s="4">
        <v>-6824</v>
      </c>
      <c r="H175" s="4">
        <v>150961</v>
      </c>
    </row>
    <row r="176" spans="1:8" x14ac:dyDescent="0.3">
      <c r="A176" s="4">
        <v>835</v>
      </c>
      <c r="B176" s="4">
        <v>570540</v>
      </c>
      <c r="C176" s="4">
        <v>214489</v>
      </c>
      <c r="D176" s="4">
        <v>6049</v>
      </c>
      <c r="E176" s="4">
        <v>208440</v>
      </c>
      <c r="F176" s="4">
        <v>126226</v>
      </c>
      <c r="G176" s="4">
        <v>489</v>
      </c>
      <c r="H176" s="4">
        <v>126715</v>
      </c>
    </row>
    <row r="177" spans="1:8" x14ac:dyDescent="0.3">
      <c r="A177" s="4">
        <v>503</v>
      </c>
      <c r="B177" s="4">
        <v>817349</v>
      </c>
      <c r="C177" s="4">
        <v>206961</v>
      </c>
      <c r="D177" s="4">
        <v>819</v>
      </c>
      <c r="E177" s="4">
        <v>206142</v>
      </c>
      <c r="F177" s="4">
        <v>95841</v>
      </c>
      <c r="G177" s="4">
        <v>-2924</v>
      </c>
      <c r="H177" s="4">
        <v>92917</v>
      </c>
    </row>
    <row r="178" spans="1:8" x14ac:dyDescent="0.3">
      <c r="A178" s="4">
        <v>423</v>
      </c>
      <c r="B178" s="4">
        <v>841170</v>
      </c>
      <c r="C178" s="4">
        <v>197693</v>
      </c>
      <c r="D178" s="4">
        <v>3148</v>
      </c>
      <c r="E178" s="4">
        <v>194545</v>
      </c>
      <c r="F178" s="4">
        <v>127991</v>
      </c>
      <c r="G178" s="4">
        <v>-553</v>
      </c>
      <c r="H178" s="4">
        <v>127438</v>
      </c>
    </row>
    <row r="179" spans="1:8" x14ac:dyDescent="0.3">
      <c r="A179" s="4">
        <v>313</v>
      </c>
      <c r="B179" s="4">
        <v>677078</v>
      </c>
      <c r="C179" s="4">
        <v>262594</v>
      </c>
      <c r="D179" s="4">
        <v>3362</v>
      </c>
      <c r="E179" s="4">
        <v>259232</v>
      </c>
      <c r="F179" s="4">
        <v>100770</v>
      </c>
      <c r="G179" s="4">
        <v>120</v>
      </c>
      <c r="H179" s="4">
        <v>100890</v>
      </c>
    </row>
    <row r="180" spans="1:8" x14ac:dyDescent="0.3">
      <c r="A180" s="4">
        <v>377</v>
      </c>
      <c r="B180" s="4">
        <v>323050</v>
      </c>
      <c r="C180" s="4">
        <v>0</v>
      </c>
      <c r="D180" s="4">
        <v>0</v>
      </c>
      <c r="E180" s="4">
        <v>0</v>
      </c>
      <c r="F180" s="4">
        <v>0</v>
      </c>
      <c r="G180" s="4">
        <v>0</v>
      </c>
      <c r="H180" s="4">
        <v>0</v>
      </c>
    </row>
    <row r="181" spans="1:8" x14ac:dyDescent="0.3">
      <c r="A181" s="4">
        <v>960</v>
      </c>
      <c r="B181" s="4">
        <v>465805</v>
      </c>
      <c r="C181" s="4">
        <v>173348</v>
      </c>
      <c r="D181" s="4">
        <v>-576</v>
      </c>
      <c r="E181" s="4">
        <v>173924</v>
      </c>
      <c r="F181" s="4">
        <v>57914</v>
      </c>
      <c r="G181" s="4">
        <v>-5330</v>
      </c>
      <c r="H181" s="4">
        <v>52584</v>
      </c>
    </row>
    <row r="182" spans="1:8" x14ac:dyDescent="0.3">
      <c r="A182" s="4">
        <v>528</v>
      </c>
      <c r="B182" s="4">
        <v>372834</v>
      </c>
      <c r="C182" s="4">
        <v>174197</v>
      </c>
      <c r="D182" s="4">
        <v>-243</v>
      </c>
      <c r="E182" s="4">
        <v>174440</v>
      </c>
      <c r="F182" s="4">
        <v>95063</v>
      </c>
      <c r="G182" s="4">
        <v>0</v>
      </c>
      <c r="H182" s="4">
        <v>95063</v>
      </c>
    </row>
    <row r="183" spans="1:8" x14ac:dyDescent="0.3">
      <c r="A183" s="4">
        <v>478</v>
      </c>
      <c r="B183" s="4">
        <v>2205953</v>
      </c>
      <c r="C183" s="4">
        <v>746834</v>
      </c>
      <c r="D183" s="4">
        <v>4260</v>
      </c>
      <c r="E183" s="4">
        <v>742574</v>
      </c>
      <c r="F183" s="4">
        <v>223869</v>
      </c>
      <c r="G183" s="4">
        <v>-6678</v>
      </c>
      <c r="H183" s="4">
        <v>217191</v>
      </c>
    </row>
    <row r="184" spans="1:8" x14ac:dyDescent="0.3">
      <c r="A184" s="4">
        <v>938</v>
      </c>
      <c r="B184" s="4">
        <v>250925</v>
      </c>
      <c r="C184" s="4">
        <v>204885.55245878978</v>
      </c>
      <c r="D184" s="4">
        <v>0</v>
      </c>
      <c r="E184" s="4">
        <v>204885.55245878978</v>
      </c>
      <c r="F184" s="4">
        <v>73666.192704142974</v>
      </c>
      <c r="G184" s="4">
        <v>0</v>
      </c>
      <c r="H184" s="4">
        <v>73666.192704142974</v>
      </c>
    </row>
    <row r="185" spans="1:8" x14ac:dyDescent="0.3">
      <c r="A185" s="4">
        <v>828</v>
      </c>
      <c r="B185" s="4">
        <v>379219</v>
      </c>
      <c r="C185" s="4">
        <v>210983.95375545687</v>
      </c>
      <c r="D185" s="4">
        <v>0</v>
      </c>
      <c r="E185" s="4">
        <v>210983.95375545687</v>
      </c>
      <c r="F185" s="4">
        <v>132494.19202005159</v>
      </c>
      <c r="G185" s="4">
        <v>0</v>
      </c>
      <c r="H185" s="4">
        <v>132494.19202005159</v>
      </c>
    </row>
    <row r="186" spans="1:8" x14ac:dyDescent="0.3">
      <c r="A186" s="4">
        <v>726</v>
      </c>
      <c r="B186" s="4">
        <v>994631</v>
      </c>
      <c r="C186" s="4">
        <v>317438</v>
      </c>
      <c r="D186" s="4">
        <v>0</v>
      </c>
      <c r="E186" s="4">
        <v>317438</v>
      </c>
      <c r="F186" s="4">
        <v>101388</v>
      </c>
      <c r="G186" s="4">
        <v>0</v>
      </c>
      <c r="H186" s="4">
        <v>101388</v>
      </c>
    </row>
    <row r="187" spans="1:8" x14ac:dyDescent="0.3">
      <c r="A187" s="4">
        <v>178</v>
      </c>
      <c r="B187" s="4">
        <v>1747821</v>
      </c>
      <c r="C187" s="4">
        <v>538999</v>
      </c>
      <c r="D187" s="4">
        <v>-2857</v>
      </c>
      <c r="E187" s="4">
        <v>541856</v>
      </c>
      <c r="F187" s="4">
        <v>151718</v>
      </c>
      <c r="G187" s="4">
        <v>-2979</v>
      </c>
      <c r="H187" s="4">
        <v>148739</v>
      </c>
    </row>
    <row r="188" spans="1:8" x14ac:dyDescent="0.3">
      <c r="A188" s="4">
        <v>543</v>
      </c>
      <c r="B188" s="4">
        <v>791500</v>
      </c>
      <c r="C188" s="4">
        <v>239166</v>
      </c>
      <c r="D188" s="4">
        <v>-8</v>
      </c>
      <c r="E188" s="4">
        <v>239174</v>
      </c>
      <c r="F188" s="4">
        <v>42486</v>
      </c>
      <c r="G188" s="4">
        <v>562</v>
      </c>
      <c r="H188" s="4">
        <v>43048</v>
      </c>
    </row>
    <row r="189" spans="1:8" x14ac:dyDescent="0.3">
      <c r="A189" s="4">
        <v>462</v>
      </c>
      <c r="B189" s="4">
        <v>452432</v>
      </c>
      <c r="C189" s="4">
        <v>186517</v>
      </c>
      <c r="D189" s="4">
        <v>2884</v>
      </c>
      <c r="E189" s="4">
        <v>183633</v>
      </c>
      <c r="F189" s="4">
        <v>22262</v>
      </c>
      <c r="G189" s="4">
        <v>384</v>
      </c>
      <c r="H189" s="4">
        <v>22646</v>
      </c>
    </row>
    <row r="190" spans="1:8" x14ac:dyDescent="0.3">
      <c r="A190" s="4">
        <v>589</v>
      </c>
      <c r="B190" s="4">
        <v>803232</v>
      </c>
      <c r="C190" s="4">
        <v>194545</v>
      </c>
      <c r="D190" s="4">
        <v>0</v>
      </c>
      <c r="E190" s="4">
        <v>194545</v>
      </c>
      <c r="F190" s="4">
        <v>95807</v>
      </c>
      <c r="G190" s="4">
        <v>0</v>
      </c>
      <c r="H190" s="4">
        <v>95807</v>
      </c>
    </row>
    <row r="191" spans="1:8" x14ac:dyDescent="0.3">
      <c r="A191" s="4">
        <v>293</v>
      </c>
      <c r="B191" s="4">
        <v>3950910</v>
      </c>
      <c r="C191" s="4">
        <v>812637</v>
      </c>
      <c r="D191" s="4">
        <v>0</v>
      </c>
      <c r="E191" s="4">
        <v>812637</v>
      </c>
      <c r="F191" s="4">
        <v>407339</v>
      </c>
      <c r="G191" s="4">
        <v>0</v>
      </c>
      <c r="H191" s="4">
        <v>407339</v>
      </c>
    </row>
    <row r="192" spans="1:8" x14ac:dyDescent="0.3">
      <c r="A192" s="4">
        <v>597</v>
      </c>
      <c r="B192" s="4">
        <v>781183</v>
      </c>
      <c r="C192" s="4">
        <v>0</v>
      </c>
      <c r="D192" s="4">
        <v>0</v>
      </c>
      <c r="E192" s="4">
        <v>0</v>
      </c>
      <c r="F192" s="4">
        <v>62597</v>
      </c>
      <c r="G192" s="4">
        <v>0</v>
      </c>
      <c r="H192" s="4">
        <v>62597</v>
      </c>
    </row>
    <row r="193" spans="1:8" x14ac:dyDescent="0.3">
      <c r="A193" s="4">
        <v>510</v>
      </c>
      <c r="B193" s="4">
        <v>1940533</v>
      </c>
      <c r="C193" s="4">
        <v>606879</v>
      </c>
      <c r="D193" s="4">
        <v>0</v>
      </c>
      <c r="E193" s="4">
        <v>606879</v>
      </c>
      <c r="F193" s="4">
        <v>43523</v>
      </c>
      <c r="G193" s="4">
        <v>0</v>
      </c>
      <c r="H193" s="4">
        <v>43523</v>
      </c>
    </row>
    <row r="194" spans="1:8" x14ac:dyDescent="0.3">
      <c r="A194" s="4">
        <v>740</v>
      </c>
      <c r="B194" s="4">
        <v>535250</v>
      </c>
      <c r="C194" s="4">
        <v>350981.99813997839</v>
      </c>
      <c r="D194" s="4">
        <v>0</v>
      </c>
      <c r="E194" s="4">
        <v>350981.99813997839</v>
      </c>
      <c r="F194" s="4">
        <v>178277.92</v>
      </c>
      <c r="G194" s="4">
        <v>0</v>
      </c>
      <c r="H194" s="4">
        <v>178277.92</v>
      </c>
    </row>
    <row r="195" spans="1:8" x14ac:dyDescent="0.3">
      <c r="A195" s="4">
        <v>278</v>
      </c>
      <c r="B195" s="4">
        <v>594253</v>
      </c>
      <c r="C195" s="4">
        <v>127255</v>
      </c>
      <c r="D195" s="4">
        <v>0</v>
      </c>
      <c r="E195" s="4">
        <v>127255</v>
      </c>
      <c r="F195" s="4">
        <v>43272</v>
      </c>
      <c r="G195" s="4">
        <v>0</v>
      </c>
      <c r="H195" s="4">
        <v>43272</v>
      </c>
    </row>
    <row r="196" spans="1:8" x14ac:dyDescent="0.3">
      <c r="A196" s="4">
        <v>772</v>
      </c>
      <c r="B196" s="4">
        <v>580229</v>
      </c>
      <c r="C196" s="4">
        <v>150946</v>
      </c>
      <c r="D196" s="4">
        <v>6261</v>
      </c>
      <c r="E196" s="4">
        <v>144685</v>
      </c>
      <c r="F196" s="4">
        <v>176701</v>
      </c>
      <c r="G196" s="4">
        <v>-392</v>
      </c>
      <c r="H196" s="4">
        <v>176309</v>
      </c>
    </row>
    <row r="197" spans="1:8" x14ac:dyDescent="0.3">
      <c r="A197" s="4">
        <v>826</v>
      </c>
      <c r="B197" s="4">
        <v>681002</v>
      </c>
      <c r="C197" s="4">
        <v>248141</v>
      </c>
      <c r="D197" s="4">
        <v>-814</v>
      </c>
      <c r="E197" s="4">
        <v>248955</v>
      </c>
      <c r="F197" s="4">
        <v>114143</v>
      </c>
      <c r="G197" s="4">
        <v>-866</v>
      </c>
      <c r="H197" s="4">
        <v>113277</v>
      </c>
    </row>
    <row r="198" spans="1:8" x14ac:dyDescent="0.3">
      <c r="A198" s="4">
        <v>146</v>
      </c>
      <c r="B198" s="4">
        <v>596048</v>
      </c>
      <c r="C198" s="4">
        <v>357925</v>
      </c>
      <c r="D198" s="4">
        <v>-1134</v>
      </c>
      <c r="E198" s="4">
        <v>359059</v>
      </c>
      <c r="F198" s="4">
        <v>147442</v>
      </c>
      <c r="G198" s="4">
        <v>2832</v>
      </c>
      <c r="H198" s="4">
        <v>150274</v>
      </c>
    </row>
    <row r="199" spans="1:8" x14ac:dyDescent="0.3">
      <c r="A199" s="4">
        <v>174</v>
      </c>
      <c r="B199" s="4">
        <v>874199</v>
      </c>
      <c r="C199" s="4">
        <v>302098.90638648177</v>
      </c>
      <c r="D199" s="4">
        <v>0</v>
      </c>
      <c r="E199" s="4">
        <v>302098.90638648177</v>
      </c>
      <c r="F199" s="4">
        <v>129805.73323650405</v>
      </c>
      <c r="G199" s="4">
        <v>0</v>
      </c>
      <c r="H199" s="4">
        <v>129805.73323650405</v>
      </c>
    </row>
    <row r="200" spans="1:8" x14ac:dyDescent="0.3">
      <c r="A200" s="4">
        <v>901</v>
      </c>
      <c r="B200" s="4">
        <v>634099</v>
      </c>
      <c r="C200" s="4">
        <v>128600</v>
      </c>
      <c r="D200" s="4">
        <v>0</v>
      </c>
      <c r="E200" s="4">
        <v>128600</v>
      </c>
      <c r="F200" s="4">
        <v>30670</v>
      </c>
      <c r="G200" s="4">
        <v>0</v>
      </c>
      <c r="H200" s="4">
        <v>30670</v>
      </c>
    </row>
    <row r="201" spans="1:8" x14ac:dyDescent="0.3">
      <c r="A201" s="4">
        <v>277</v>
      </c>
      <c r="B201" s="4">
        <v>617387</v>
      </c>
      <c r="C201" s="4">
        <v>243682.09577869132</v>
      </c>
      <c r="D201" s="4">
        <v>0</v>
      </c>
      <c r="E201" s="4">
        <v>243682.09577869132</v>
      </c>
      <c r="F201" s="4">
        <v>70726.649631801643</v>
      </c>
      <c r="G201" s="4">
        <v>0</v>
      </c>
      <c r="H201" s="4">
        <v>70726.649631801643</v>
      </c>
    </row>
    <row r="202" spans="1:8" x14ac:dyDescent="0.3">
      <c r="A202" s="4">
        <v>959</v>
      </c>
      <c r="B202" s="4">
        <v>749999</v>
      </c>
      <c r="C202" s="4">
        <v>267080.60772261734</v>
      </c>
      <c r="D202" s="4">
        <v>0</v>
      </c>
      <c r="E202" s="4">
        <v>267080.60772261734</v>
      </c>
      <c r="F202" s="4">
        <v>96049.024930891392</v>
      </c>
      <c r="G202" s="4">
        <v>0</v>
      </c>
      <c r="H202" s="4">
        <v>96049.024930891392</v>
      </c>
    </row>
    <row r="203" spans="1:8" x14ac:dyDescent="0.3">
      <c r="A203" s="4">
        <v>422</v>
      </c>
      <c r="B203" s="4">
        <v>400066</v>
      </c>
      <c r="C203" s="4">
        <v>217268</v>
      </c>
      <c r="D203" s="4">
        <v>17378</v>
      </c>
      <c r="E203" s="4">
        <v>199890</v>
      </c>
      <c r="F203" s="4">
        <v>29688</v>
      </c>
      <c r="G203" s="4">
        <v>3052</v>
      </c>
      <c r="H203" s="4">
        <v>32740</v>
      </c>
    </row>
    <row r="204" spans="1:8" x14ac:dyDescent="0.3">
      <c r="A204" s="4">
        <v>431</v>
      </c>
      <c r="B204" s="4">
        <v>753482</v>
      </c>
      <c r="C204" s="4">
        <v>281435.17326766171</v>
      </c>
      <c r="D204" s="4">
        <v>0</v>
      </c>
      <c r="E204" s="4">
        <v>281435.17326766171</v>
      </c>
      <c r="F204" s="4">
        <v>179390.43987588538</v>
      </c>
      <c r="G204" s="4">
        <v>0</v>
      </c>
      <c r="H204" s="4">
        <v>179390.43987588538</v>
      </c>
    </row>
    <row r="205" spans="1:8" x14ac:dyDescent="0.3">
      <c r="A205" s="4">
        <v>886</v>
      </c>
      <c r="B205" s="4">
        <v>730178</v>
      </c>
      <c r="C205" s="4">
        <v>187179.45758923149</v>
      </c>
      <c r="D205" s="4">
        <v>0</v>
      </c>
      <c r="E205" s="4">
        <v>187179.45758923149</v>
      </c>
      <c r="F205" s="4">
        <v>41888.286944618929</v>
      </c>
      <c r="G205" s="4">
        <v>0</v>
      </c>
      <c r="H205" s="4">
        <v>41888.286944618929</v>
      </c>
    </row>
    <row r="206" spans="1:8" x14ac:dyDescent="0.3">
      <c r="A206" s="4">
        <v>233</v>
      </c>
      <c r="B206" s="4">
        <v>556197</v>
      </c>
      <c r="C206" s="4">
        <v>157552</v>
      </c>
      <c r="D206" s="4">
        <v>0</v>
      </c>
      <c r="E206" s="4">
        <v>157552</v>
      </c>
      <c r="F206" s="4">
        <v>80120</v>
      </c>
      <c r="G206" s="4">
        <v>0</v>
      </c>
      <c r="H206" s="4">
        <v>80120</v>
      </c>
    </row>
    <row r="207" spans="1:8" x14ac:dyDescent="0.3">
      <c r="A207" s="4">
        <v>555</v>
      </c>
      <c r="B207" s="4">
        <v>662537</v>
      </c>
      <c r="C207" s="4">
        <v>53231</v>
      </c>
      <c r="D207" s="4">
        <v>0</v>
      </c>
      <c r="E207" s="4">
        <v>53231</v>
      </c>
      <c r="F207" s="4">
        <v>137999.47743897373</v>
      </c>
      <c r="G207" s="4">
        <v>0</v>
      </c>
      <c r="H207" s="4">
        <v>137999.47743897373</v>
      </c>
    </row>
    <row r="208" spans="1:8" x14ac:dyDescent="0.3">
      <c r="A208" s="4">
        <v>691</v>
      </c>
      <c r="B208" s="4">
        <v>609535</v>
      </c>
      <c r="C208" s="4">
        <v>235455</v>
      </c>
      <c r="D208" s="4">
        <v>0</v>
      </c>
      <c r="E208" s="4">
        <v>235455</v>
      </c>
      <c r="F208" s="4">
        <v>108507</v>
      </c>
      <c r="G208" s="4">
        <v>0</v>
      </c>
      <c r="H208" s="4">
        <v>108507</v>
      </c>
    </row>
    <row r="209" spans="1:8" x14ac:dyDescent="0.3">
      <c r="A209" s="4">
        <v>351</v>
      </c>
      <c r="B209" s="4">
        <v>2136081</v>
      </c>
      <c r="C209" s="4">
        <v>687761</v>
      </c>
      <c r="D209" s="4">
        <v>-5931</v>
      </c>
      <c r="E209" s="4">
        <v>693692</v>
      </c>
      <c r="F209" s="4">
        <v>182313</v>
      </c>
      <c r="G209" s="4">
        <v>1717</v>
      </c>
      <c r="H209" s="4">
        <v>184030</v>
      </c>
    </row>
    <row r="210" spans="1:8" x14ac:dyDescent="0.3">
      <c r="A210" s="4">
        <v>459</v>
      </c>
      <c r="B210" s="4">
        <v>1994357</v>
      </c>
      <c r="C210" s="4">
        <v>794600.09405027784</v>
      </c>
      <c r="D210" s="4">
        <v>0</v>
      </c>
      <c r="E210" s="4">
        <v>794600.09405027784</v>
      </c>
      <c r="F210" s="4">
        <v>259707.54052563335</v>
      </c>
      <c r="G210" s="4">
        <v>0</v>
      </c>
      <c r="H210" s="4">
        <v>259707.54052563335</v>
      </c>
    </row>
    <row r="211" spans="1:8" x14ac:dyDescent="0.3">
      <c r="A211" s="4">
        <v>997</v>
      </c>
      <c r="B211" s="4">
        <v>432529</v>
      </c>
      <c r="C211" s="4">
        <v>196314.1025909672</v>
      </c>
      <c r="D211" s="4">
        <v>0</v>
      </c>
      <c r="E211" s="4">
        <v>196314.1025909672</v>
      </c>
      <c r="F211" s="4">
        <v>45554.440499000135</v>
      </c>
      <c r="G211" s="4">
        <v>0</v>
      </c>
      <c r="H211" s="4">
        <v>45554.440499000135</v>
      </c>
    </row>
    <row r="212" spans="1:8" x14ac:dyDescent="0.3">
      <c r="A212" s="4">
        <v>385</v>
      </c>
      <c r="B212" s="4">
        <v>722816</v>
      </c>
      <c r="C212" s="4">
        <v>202217</v>
      </c>
      <c r="D212" s="4">
        <v>816</v>
      </c>
      <c r="E212" s="4">
        <v>201401</v>
      </c>
      <c r="F212" s="4">
        <v>73107</v>
      </c>
      <c r="G212" s="4">
        <v>4534</v>
      </c>
      <c r="H212" s="4">
        <v>77641</v>
      </c>
    </row>
    <row r="213" spans="1:8" x14ac:dyDescent="0.3">
      <c r="A213" s="4">
        <v>611</v>
      </c>
      <c r="B213" s="4">
        <v>1194790</v>
      </c>
      <c r="C213" s="4">
        <v>299094</v>
      </c>
      <c r="D213" s="4">
        <v>-2638</v>
      </c>
      <c r="E213" s="4">
        <v>301732</v>
      </c>
      <c r="F213" s="4">
        <v>102860</v>
      </c>
      <c r="G213" s="4">
        <v>-1404</v>
      </c>
      <c r="H213" s="4">
        <v>101456</v>
      </c>
    </row>
    <row r="214" spans="1:8" x14ac:dyDescent="0.3">
      <c r="A214" s="4">
        <v>707</v>
      </c>
      <c r="B214" s="4">
        <v>680165</v>
      </c>
      <c r="C214" s="4">
        <v>122261</v>
      </c>
      <c r="D214" s="4">
        <v>0</v>
      </c>
      <c r="E214" s="4">
        <v>122261</v>
      </c>
      <c r="F214" s="4">
        <v>64661</v>
      </c>
      <c r="G214" s="4">
        <v>0</v>
      </c>
      <c r="H214" s="4">
        <v>64661</v>
      </c>
    </row>
    <row r="215" spans="1:8" x14ac:dyDescent="0.3">
      <c r="A215" s="4">
        <v>222</v>
      </c>
      <c r="B215" s="4">
        <v>367876</v>
      </c>
      <c r="C215" s="4">
        <v>158791</v>
      </c>
      <c r="D215" s="4">
        <v>-1216</v>
      </c>
      <c r="E215" s="4">
        <v>160007</v>
      </c>
      <c r="F215" s="4">
        <v>40804</v>
      </c>
      <c r="G215" s="4">
        <v>789</v>
      </c>
      <c r="H215" s="4">
        <v>41593</v>
      </c>
    </row>
    <row r="216" spans="1:8" x14ac:dyDescent="0.3">
      <c r="A216" s="4">
        <v>325</v>
      </c>
      <c r="B216" s="4">
        <v>805278</v>
      </c>
      <c r="C216" s="4">
        <v>314625</v>
      </c>
      <c r="D216" s="4">
        <v>0</v>
      </c>
      <c r="E216" s="4">
        <v>314625</v>
      </c>
      <c r="F216" s="4">
        <v>97778</v>
      </c>
      <c r="G216" s="4">
        <v>0</v>
      </c>
      <c r="H216" s="4">
        <v>97778</v>
      </c>
    </row>
    <row r="217" spans="1:8" x14ac:dyDescent="0.3">
      <c r="A217" s="4">
        <v>558</v>
      </c>
      <c r="B217" s="4">
        <v>1252284</v>
      </c>
      <c r="C217" s="4">
        <v>573028</v>
      </c>
      <c r="D217" s="4">
        <v>-7104</v>
      </c>
      <c r="E217" s="4">
        <v>580132</v>
      </c>
      <c r="F217" s="4">
        <v>74888</v>
      </c>
      <c r="G217" s="4">
        <v>1211</v>
      </c>
      <c r="H217" s="4">
        <v>76099</v>
      </c>
    </row>
    <row r="218" spans="1:8" x14ac:dyDescent="0.3">
      <c r="A218" s="4">
        <v>264</v>
      </c>
      <c r="B218" s="4">
        <v>877667</v>
      </c>
      <c r="C218" s="4">
        <v>287296</v>
      </c>
      <c r="D218" s="4">
        <v>0</v>
      </c>
      <c r="E218" s="4">
        <v>287296</v>
      </c>
      <c r="F218" s="4">
        <v>134202</v>
      </c>
      <c r="G218" s="4">
        <v>0</v>
      </c>
      <c r="H218" s="4">
        <v>134202</v>
      </c>
    </row>
    <row r="219" spans="1:8" x14ac:dyDescent="0.3">
      <c r="A219" s="4">
        <v>729</v>
      </c>
      <c r="B219" s="4">
        <v>1473674</v>
      </c>
      <c r="C219" s="4">
        <v>374082</v>
      </c>
      <c r="D219" s="4">
        <v>0</v>
      </c>
      <c r="E219" s="4">
        <v>374082</v>
      </c>
      <c r="F219" s="4">
        <v>108478</v>
      </c>
      <c r="G219" s="4">
        <v>0</v>
      </c>
      <c r="H219" s="4">
        <v>108478</v>
      </c>
    </row>
    <row r="220" spans="1:8" x14ac:dyDescent="0.3">
      <c r="A220" s="4">
        <v>925</v>
      </c>
      <c r="B220" s="4">
        <v>1299275</v>
      </c>
      <c r="C220" s="4">
        <v>559016</v>
      </c>
      <c r="D220" s="4">
        <v>0</v>
      </c>
      <c r="E220" s="4">
        <v>559016</v>
      </c>
      <c r="F220" s="4">
        <v>112372</v>
      </c>
      <c r="G220" s="4">
        <v>0</v>
      </c>
      <c r="H220" s="4">
        <v>112372</v>
      </c>
    </row>
    <row r="221" spans="1:8" x14ac:dyDescent="0.3">
      <c r="A221" s="4">
        <v>117</v>
      </c>
      <c r="B221" s="4">
        <v>699990</v>
      </c>
      <c r="C221" s="4">
        <v>223541.82316777215</v>
      </c>
      <c r="D221" s="4">
        <v>0</v>
      </c>
      <c r="E221" s="4">
        <v>223541.82316777215</v>
      </c>
      <c r="F221" s="4">
        <v>160725.43128224098</v>
      </c>
      <c r="G221" s="4">
        <v>0</v>
      </c>
      <c r="H221" s="4">
        <v>160725.43128224098</v>
      </c>
    </row>
    <row r="222" spans="1:8" x14ac:dyDescent="0.3">
      <c r="A222" s="4">
        <v>968</v>
      </c>
      <c r="B222" s="4">
        <v>929068</v>
      </c>
      <c r="C222" s="4">
        <v>290387</v>
      </c>
      <c r="D222" s="4">
        <v>-3358</v>
      </c>
      <c r="E222" s="4">
        <v>293745</v>
      </c>
      <c r="F222" s="4">
        <v>139282</v>
      </c>
      <c r="G222" s="4">
        <v>-1270</v>
      </c>
      <c r="H222" s="4">
        <v>138012</v>
      </c>
    </row>
    <row r="223" spans="1:8" x14ac:dyDescent="0.3">
      <c r="A223" s="4">
        <v>642</v>
      </c>
      <c r="B223" s="4">
        <v>1933167</v>
      </c>
      <c r="C223" s="4">
        <v>531576</v>
      </c>
      <c r="D223" s="4">
        <v>0</v>
      </c>
      <c r="E223" s="4">
        <v>531576</v>
      </c>
      <c r="F223" s="4">
        <v>267518</v>
      </c>
      <c r="G223" s="4">
        <v>0</v>
      </c>
      <c r="H223" s="4">
        <v>267518</v>
      </c>
    </row>
    <row r="224" spans="1:8" x14ac:dyDescent="0.3">
      <c r="A224" s="4">
        <v>715</v>
      </c>
      <c r="B224" s="4">
        <v>598188</v>
      </c>
      <c r="C224" s="4">
        <v>213837</v>
      </c>
      <c r="D224" s="4">
        <v>7662</v>
      </c>
      <c r="E224" s="4">
        <v>206175</v>
      </c>
      <c r="F224" s="4">
        <v>71081</v>
      </c>
      <c r="G224" s="4">
        <v>272</v>
      </c>
      <c r="H224" s="4">
        <v>71353</v>
      </c>
    </row>
    <row r="225" spans="1:8" x14ac:dyDescent="0.3">
      <c r="A225" s="4">
        <v>703</v>
      </c>
      <c r="B225" s="4">
        <v>1268289</v>
      </c>
      <c r="C225" s="4">
        <v>213626</v>
      </c>
      <c r="D225" s="4">
        <v>0</v>
      </c>
      <c r="E225" s="4">
        <v>213626</v>
      </c>
      <c r="F225" s="4">
        <v>92099</v>
      </c>
      <c r="G225" s="4">
        <v>0</v>
      </c>
      <c r="H225" s="4">
        <v>92099</v>
      </c>
    </row>
    <row r="226" spans="1:8" x14ac:dyDescent="0.3">
      <c r="A226" s="4">
        <v>392</v>
      </c>
      <c r="B226" s="4">
        <v>572466</v>
      </c>
      <c r="C226" s="4">
        <v>211797</v>
      </c>
      <c r="D226" s="4">
        <v>-3629</v>
      </c>
      <c r="E226" s="4">
        <v>215426</v>
      </c>
      <c r="F226" s="4">
        <v>92904</v>
      </c>
      <c r="G226" s="4">
        <v>-657</v>
      </c>
      <c r="H226" s="4">
        <v>92247</v>
      </c>
    </row>
    <row r="227" spans="1:8" x14ac:dyDescent="0.3">
      <c r="A227" s="4">
        <v>892</v>
      </c>
      <c r="B227" s="4">
        <v>465460</v>
      </c>
      <c r="C227" s="4">
        <v>133312</v>
      </c>
      <c r="D227" s="4">
        <v>0</v>
      </c>
      <c r="E227" s="4">
        <v>133312</v>
      </c>
      <c r="F227" s="4">
        <v>0</v>
      </c>
      <c r="G227" s="4">
        <v>0</v>
      </c>
      <c r="H227" s="4">
        <v>0</v>
      </c>
    </row>
    <row r="228" spans="1:8" x14ac:dyDescent="0.3">
      <c r="A228" s="4">
        <v>978</v>
      </c>
      <c r="B228" s="4">
        <v>749282</v>
      </c>
      <c r="C228" s="4">
        <v>211345</v>
      </c>
      <c r="D228" s="4">
        <v>-5775</v>
      </c>
      <c r="E228" s="4">
        <v>217120</v>
      </c>
      <c r="F228" s="4">
        <v>51197</v>
      </c>
      <c r="G228" s="4">
        <v>-798</v>
      </c>
      <c r="H228" s="4">
        <v>50399</v>
      </c>
    </row>
    <row r="229" spans="1:8" x14ac:dyDescent="0.3">
      <c r="A229" s="4">
        <v>658</v>
      </c>
      <c r="B229" s="4">
        <v>618780</v>
      </c>
      <c r="C229" s="4">
        <v>276614</v>
      </c>
      <c r="D229" s="4">
        <v>-1027</v>
      </c>
      <c r="E229" s="4">
        <v>277641</v>
      </c>
      <c r="F229" s="4">
        <v>102404</v>
      </c>
      <c r="G229" s="4">
        <v>-11781</v>
      </c>
      <c r="H229" s="4">
        <v>90623</v>
      </c>
    </row>
    <row r="230" spans="1:8" x14ac:dyDescent="0.3">
      <c r="A230" s="4">
        <v>456</v>
      </c>
      <c r="B230" s="4">
        <v>341779</v>
      </c>
      <c r="C230" s="4">
        <v>291084</v>
      </c>
      <c r="D230" s="4">
        <v>-5946</v>
      </c>
      <c r="E230" s="4">
        <v>297030</v>
      </c>
      <c r="F230" s="4">
        <v>127696</v>
      </c>
      <c r="G230" s="4">
        <v>-4414</v>
      </c>
      <c r="H230" s="4">
        <v>123282</v>
      </c>
    </row>
    <row r="231" spans="1:8" x14ac:dyDescent="0.3">
      <c r="A231" s="4">
        <v>919</v>
      </c>
      <c r="B231" s="4">
        <v>625937</v>
      </c>
      <c r="C231" s="4">
        <v>192177</v>
      </c>
      <c r="D231" s="4">
        <v>0</v>
      </c>
      <c r="E231" s="4">
        <v>192177</v>
      </c>
      <c r="F231" s="4">
        <v>115426</v>
      </c>
      <c r="G231" s="4">
        <v>0</v>
      </c>
      <c r="H231" s="4">
        <v>115426</v>
      </c>
    </row>
    <row r="232" spans="1:8" x14ac:dyDescent="0.3">
      <c r="A232" s="4">
        <v>986</v>
      </c>
      <c r="B232" s="4">
        <v>619143</v>
      </c>
      <c r="C232" s="4">
        <v>221686</v>
      </c>
      <c r="D232" s="4">
        <v>0</v>
      </c>
      <c r="E232" s="4">
        <v>221686</v>
      </c>
      <c r="F232" s="4">
        <v>130207</v>
      </c>
      <c r="G232" s="4">
        <v>0</v>
      </c>
      <c r="H232" s="4">
        <v>130207</v>
      </c>
    </row>
    <row r="233" spans="1:8" x14ac:dyDescent="0.3">
      <c r="A233" s="4">
        <v>242</v>
      </c>
      <c r="B233" s="4">
        <v>396482</v>
      </c>
      <c r="C233" s="4">
        <v>159503</v>
      </c>
      <c r="D233" s="4">
        <v>0</v>
      </c>
      <c r="E233" s="4">
        <v>159503</v>
      </c>
      <c r="F233" s="4">
        <v>40605</v>
      </c>
      <c r="G233" s="4">
        <v>0</v>
      </c>
      <c r="H233" s="4">
        <v>40605</v>
      </c>
    </row>
    <row r="234" spans="1:8" x14ac:dyDescent="0.3">
      <c r="A234" s="4">
        <v>963</v>
      </c>
      <c r="B234" s="4">
        <v>798589</v>
      </c>
      <c r="C234" s="4">
        <v>187410</v>
      </c>
      <c r="D234" s="4">
        <v>-2502</v>
      </c>
      <c r="E234" s="4">
        <v>189912</v>
      </c>
      <c r="F234" s="4">
        <v>171888</v>
      </c>
      <c r="G234" s="4">
        <v>-1415</v>
      </c>
      <c r="H234" s="4">
        <v>170473</v>
      </c>
    </row>
    <row r="235" spans="1:8" x14ac:dyDescent="0.3">
      <c r="A235" s="4">
        <v>632</v>
      </c>
      <c r="B235" s="4">
        <v>715735</v>
      </c>
      <c r="C235" s="4">
        <v>133788</v>
      </c>
      <c r="D235" s="4">
        <v>3912</v>
      </c>
      <c r="E235" s="4">
        <v>129876</v>
      </c>
      <c r="F235" s="4">
        <v>55356</v>
      </c>
      <c r="G235" s="4">
        <v>-1358</v>
      </c>
      <c r="H235" s="4">
        <v>53998</v>
      </c>
    </row>
    <row r="236" spans="1:8" x14ac:dyDescent="0.3">
      <c r="A236" s="4">
        <v>789</v>
      </c>
      <c r="B236" s="4">
        <v>281040</v>
      </c>
      <c r="C236" s="4">
        <v>0</v>
      </c>
      <c r="D236" s="4">
        <v>0</v>
      </c>
      <c r="E236" s="4">
        <v>0</v>
      </c>
      <c r="F236" s="4">
        <v>0</v>
      </c>
      <c r="G236" s="4">
        <v>0</v>
      </c>
      <c r="H236" s="4">
        <v>0</v>
      </c>
    </row>
    <row r="237" spans="1:8" x14ac:dyDescent="0.3">
      <c r="A237" s="4">
        <v>526</v>
      </c>
      <c r="B237" s="4">
        <v>1130632</v>
      </c>
      <c r="C237" s="4">
        <v>0</v>
      </c>
      <c r="D237" s="4">
        <v>0</v>
      </c>
      <c r="E237" s="4">
        <v>0</v>
      </c>
      <c r="F237" s="4">
        <v>0</v>
      </c>
      <c r="G237" s="4">
        <v>0</v>
      </c>
      <c r="H237" s="4">
        <v>0</v>
      </c>
    </row>
    <row r="238" spans="1:8" x14ac:dyDescent="0.3">
      <c r="A238" s="4">
        <v>931</v>
      </c>
      <c r="B238" s="4">
        <v>407855</v>
      </c>
      <c r="C238" s="4">
        <v>433775</v>
      </c>
      <c r="D238" s="4">
        <v>0</v>
      </c>
      <c r="E238" s="4">
        <v>433775</v>
      </c>
      <c r="F238" s="4">
        <v>109571</v>
      </c>
      <c r="G238" s="4">
        <v>2732</v>
      </c>
      <c r="H238" s="4">
        <v>112303</v>
      </c>
    </row>
    <row r="239" spans="1:8" x14ac:dyDescent="0.3">
      <c r="A239" s="4">
        <v>797</v>
      </c>
      <c r="B239" s="4">
        <v>652249</v>
      </c>
      <c r="C239" s="4">
        <v>26198</v>
      </c>
      <c r="D239" s="4">
        <v>0</v>
      </c>
      <c r="E239" s="4">
        <v>26198</v>
      </c>
      <c r="F239" s="4">
        <v>138465</v>
      </c>
      <c r="G239" s="4">
        <v>0</v>
      </c>
      <c r="H239" s="4">
        <v>138465</v>
      </c>
    </row>
    <row r="240" spans="1:8" x14ac:dyDescent="0.3">
      <c r="A240" s="4">
        <v>563</v>
      </c>
      <c r="B240" s="4">
        <v>678940</v>
      </c>
      <c r="C240" s="4">
        <v>287090</v>
      </c>
      <c r="D240" s="4">
        <v>0</v>
      </c>
      <c r="E240" s="4">
        <v>287090</v>
      </c>
      <c r="F240" s="4">
        <v>137475</v>
      </c>
      <c r="G240" s="4">
        <v>0</v>
      </c>
      <c r="H240" s="4">
        <v>137475</v>
      </c>
    </row>
    <row r="241" spans="1:8" x14ac:dyDescent="0.3">
      <c r="A241" s="4">
        <v>716</v>
      </c>
      <c r="B241" s="4">
        <v>1711834</v>
      </c>
      <c r="C241" s="4">
        <v>580048</v>
      </c>
      <c r="D241" s="4">
        <v>-35</v>
      </c>
      <c r="E241" s="4">
        <v>580083</v>
      </c>
      <c r="F241" s="4">
        <v>353503</v>
      </c>
      <c r="G241" s="4">
        <v>3464</v>
      </c>
      <c r="H241" s="4">
        <v>356967</v>
      </c>
    </row>
    <row r="242" spans="1:8" x14ac:dyDescent="0.3">
      <c r="A242" s="4">
        <v>810</v>
      </c>
      <c r="B242" s="4">
        <v>597088</v>
      </c>
      <c r="C242" s="4">
        <v>45976</v>
      </c>
      <c r="D242" s="4">
        <v>-977</v>
      </c>
      <c r="E242" s="4">
        <v>46953</v>
      </c>
      <c r="F242" s="4">
        <v>149255</v>
      </c>
      <c r="G242" s="4">
        <v>-2169</v>
      </c>
      <c r="H242" s="4">
        <v>147086</v>
      </c>
    </row>
    <row r="243" spans="1:8" x14ac:dyDescent="0.3">
      <c r="A243" s="4">
        <v>984</v>
      </c>
      <c r="B243" s="4">
        <v>1139635</v>
      </c>
      <c r="C243" s="4">
        <v>471661.24011657375</v>
      </c>
      <c r="D243" s="4">
        <v>0</v>
      </c>
      <c r="E243" s="4">
        <v>471661.24011657375</v>
      </c>
      <c r="F243" s="4">
        <v>99073.339226137381</v>
      </c>
      <c r="G243" s="4">
        <v>0</v>
      </c>
      <c r="H243" s="4">
        <v>99073.339226137381</v>
      </c>
    </row>
    <row r="244" spans="1:8" x14ac:dyDescent="0.3">
      <c r="A244" s="4">
        <v>382</v>
      </c>
      <c r="B244" s="4">
        <v>1107793</v>
      </c>
      <c r="C244" s="4">
        <v>563828</v>
      </c>
      <c r="D244" s="4">
        <v>4354</v>
      </c>
      <c r="E244" s="4">
        <v>559474</v>
      </c>
      <c r="F244" s="4">
        <v>163714</v>
      </c>
      <c r="G244" s="4">
        <v>2178</v>
      </c>
      <c r="H244" s="4">
        <v>165892</v>
      </c>
    </row>
    <row r="245" spans="1:8" x14ac:dyDescent="0.3">
      <c r="A245" s="4">
        <v>750</v>
      </c>
      <c r="B245" s="4">
        <v>298920</v>
      </c>
      <c r="C245" s="4">
        <v>233537</v>
      </c>
      <c r="D245" s="4">
        <v>5276</v>
      </c>
      <c r="E245" s="4">
        <v>228261</v>
      </c>
      <c r="F245" s="4">
        <v>79907</v>
      </c>
      <c r="G245" s="4">
        <v>2502</v>
      </c>
      <c r="H245" s="4">
        <v>82409</v>
      </c>
    </row>
    <row r="246" spans="1:8" x14ac:dyDescent="0.3">
      <c r="A246" s="4">
        <v>496</v>
      </c>
      <c r="B246" s="4">
        <v>915513</v>
      </c>
      <c r="C246" s="4">
        <v>380278</v>
      </c>
      <c r="D246" s="4">
        <v>-9270</v>
      </c>
      <c r="E246" s="4">
        <v>389548</v>
      </c>
      <c r="F246" s="4">
        <v>134772</v>
      </c>
      <c r="G246" s="4">
        <v>-8164</v>
      </c>
      <c r="H246" s="4">
        <v>126608</v>
      </c>
    </row>
    <row r="247" spans="1:8" x14ac:dyDescent="0.3">
      <c r="A247" s="4">
        <v>771</v>
      </c>
      <c r="B247" s="4">
        <v>634401</v>
      </c>
      <c r="C247" s="4">
        <v>182738</v>
      </c>
      <c r="D247" s="4">
        <v>1309</v>
      </c>
      <c r="E247" s="4">
        <v>181429</v>
      </c>
      <c r="F247" s="4">
        <v>82940</v>
      </c>
      <c r="G247" s="4">
        <v>-1545</v>
      </c>
      <c r="H247" s="4">
        <v>81395</v>
      </c>
    </row>
    <row r="248" spans="1:8" x14ac:dyDescent="0.3">
      <c r="A248" s="4">
        <v>654</v>
      </c>
      <c r="B248" s="4">
        <v>1252564</v>
      </c>
      <c r="C248" s="4">
        <v>312179</v>
      </c>
      <c r="D248" s="4">
        <v>-730</v>
      </c>
      <c r="E248" s="4">
        <v>312909</v>
      </c>
      <c r="F248" s="4">
        <v>89453</v>
      </c>
      <c r="G248" s="4">
        <v>715</v>
      </c>
      <c r="H248" s="4">
        <v>90168</v>
      </c>
    </row>
    <row r="249" spans="1:8" x14ac:dyDescent="0.3">
      <c r="A249" s="4">
        <v>550</v>
      </c>
      <c r="B249" s="4">
        <v>1060472</v>
      </c>
      <c r="C249" s="4">
        <v>428253</v>
      </c>
      <c r="D249" s="4">
        <v>3315</v>
      </c>
      <c r="E249" s="4">
        <v>424938</v>
      </c>
      <c r="F249" s="4">
        <v>65581</v>
      </c>
      <c r="G249" s="4">
        <v>-758</v>
      </c>
      <c r="H249" s="4">
        <v>64823</v>
      </c>
    </row>
    <row r="250" spans="1:8" x14ac:dyDescent="0.3">
      <c r="A250" s="4">
        <v>962</v>
      </c>
      <c r="B250" s="4">
        <v>477421</v>
      </c>
      <c r="C250" s="4">
        <v>224267</v>
      </c>
      <c r="D250" s="4">
        <v>-775</v>
      </c>
      <c r="E250" s="4">
        <v>225042</v>
      </c>
      <c r="F250" s="4">
        <v>72499</v>
      </c>
      <c r="G250" s="4">
        <v>-336</v>
      </c>
      <c r="H250" s="4">
        <v>72163</v>
      </c>
    </row>
    <row r="251" spans="1:8" x14ac:dyDescent="0.3">
      <c r="A251" s="4">
        <v>318</v>
      </c>
      <c r="B251" s="4">
        <v>988159</v>
      </c>
      <c r="C251" s="4">
        <v>455076</v>
      </c>
      <c r="D251" s="4">
        <v>-3682</v>
      </c>
      <c r="E251" s="4">
        <v>458758</v>
      </c>
      <c r="F251" s="4">
        <v>82185</v>
      </c>
      <c r="G251" s="4">
        <v>-1797</v>
      </c>
      <c r="H251" s="4">
        <v>80388</v>
      </c>
    </row>
    <row r="252" spans="1:8" x14ac:dyDescent="0.3">
      <c r="A252" s="4">
        <v>461</v>
      </c>
      <c r="B252" s="4">
        <v>776629</v>
      </c>
      <c r="C252" s="4">
        <v>311675</v>
      </c>
      <c r="D252" s="4">
        <v>3043</v>
      </c>
      <c r="E252" s="4">
        <v>308632</v>
      </c>
      <c r="F252" s="4">
        <v>63485</v>
      </c>
      <c r="G252" s="4">
        <v>596</v>
      </c>
      <c r="H252" s="4">
        <v>64081</v>
      </c>
    </row>
    <row r="253" spans="1:8" x14ac:dyDescent="0.3">
      <c r="A253" s="4">
        <v>235</v>
      </c>
      <c r="B253" s="4">
        <v>376644</v>
      </c>
      <c r="C253" s="4">
        <v>244732</v>
      </c>
      <c r="D253" s="4">
        <v>-11356</v>
      </c>
      <c r="E253" s="4">
        <v>256088</v>
      </c>
      <c r="F253" s="4">
        <v>84255</v>
      </c>
      <c r="G253" s="4">
        <v>3394</v>
      </c>
      <c r="H253" s="4">
        <v>87649</v>
      </c>
    </row>
    <row r="254" spans="1:8" x14ac:dyDescent="0.3">
      <c r="A254" s="4">
        <v>606</v>
      </c>
      <c r="B254" s="4">
        <v>612976</v>
      </c>
      <c r="C254" s="4">
        <v>265916</v>
      </c>
      <c r="D254" s="4">
        <v>311</v>
      </c>
      <c r="E254" s="4">
        <v>265605</v>
      </c>
      <c r="F254" s="4">
        <v>98307</v>
      </c>
      <c r="G254" s="4">
        <v>48</v>
      </c>
      <c r="H254" s="4">
        <v>98355</v>
      </c>
    </row>
    <row r="255" spans="1:8" x14ac:dyDescent="0.3">
      <c r="A255" s="4">
        <v>509</v>
      </c>
      <c r="B255" s="4">
        <v>1723506</v>
      </c>
      <c r="C255" s="4">
        <v>413959</v>
      </c>
      <c r="D255" s="4">
        <v>3759</v>
      </c>
      <c r="E255" s="4">
        <v>410200</v>
      </c>
      <c r="F255" s="4">
        <v>153639</v>
      </c>
      <c r="G255" s="4">
        <v>1613</v>
      </c>
      <c r="H255" s="4">
        <v>155252</v>
      </c>
    </row>
    <row r="256" spans="1:8" x14ac:dyDescent="0.3">
      <c r="A256" s="4">
        <v>240</v>
      </c>
      <c r="B256" s="4">
        <v>848777</v>
      </c>
      <c r="C256" s="4">
        <v>247991</v>
      </c>
      <c r="D256" s="4">
        <v>0</v>
      </c>
      <c r="E256" s="4">
        <v>247991</v>
      </c>
      <c r="F256" s="4">
        <v>90732</v>
      </c>
      <c r="G256" s="4">
        <v>0</v>
      </c>
      <c r="H256" s="4">
        <v>90732</v>
      </c>
    </row>
    <row r="257" spans="1:8" x14ac:dyDescent="0.3">
      <c r="A257" s="4">
        <v>156</v>
      </c>
      <c r="B257" s="4">
        <v>865863</v>
      </c>
      <c r="C257" s="4">
        <v>235844.00889966058</v>
      </c>
      <c r="D257" s="4">
        <v>0</v>
      </c>
      <c r="E257" s="4">
        <v>235844.00889966058</v>
      </c>
      <c r="F257" s="4">
        <v>138759.99641017549</v>
      </c>
      <c r="G257" s="4">
        <v>0</v>
      </c>
      <c r="H257" s="4">
        <v>138759.99641017549</v>
      </c>
    </row>
    <row r="258" spans="1:8" x14ac:dyDescent="0.3">
      <c r="A258" s="4">
        <v>290</v>
      </c>
      <c r="B258" s="4">
        <v>270600</v>
      </c>
      <c r="C258" s="4">
        <v>136527</v>
      </c>
      <c r="D258" s="4">
        <v>186</v>
      </c>
      <c r="E258" s="4">
        <v>136341</v>
      </c>
      <c r="F258" s="4">
        <v>74611</v>
      </c>
      <c r="G258" s="4">
        <v>236</v>
      </c>
      <c r="H258" s="4">
        <v>74847</v>
      </c>
    </row>
    <row r="259" spans="1:8" x14ac:dyDescent="0.3">
      <c r="A259" s="4">
        <v>816</v>
      </c>
      <c r="B259" s="4">
        <v>687595</v>
      </c>
      <c r="C259" s="4">
        <v>217340</v>
      </c>
      <c r="D259" s="4">
        <v>0</v>
      </c>
      <c r="E259" s="4">
        <v>217340</v>
      </c>
      <c r="F259" s="4">
        <v>72116</v>
      </c>
      <c r="G259" s="4">
        <v>0</v>
      </c>
      <c r="H259" s="4">
        <v>72116</v>
      </c>
    </row>
    <row r="260" spans="1:8" x14ac:dyDescent="0.3">
      <c r="A260" s="4">
        <v>170</v>
      </c>
      <c r="B260" s="4">
        <v>308332</v>
      </c>
      <c r="C260" s="4">
        <v>173135</v>
      </c>
      <c r="D260" s="4">
        <v>0</v>
      </c>
      <c r="E260" s="4">
        <v>173135</v>
      </c>
      <c r="F260" s="4">
        <v>105806</v>
      </c>
      <c r="G260" s="4">
        <v>0</v>
      </c>
      <c r="H260" s="4">
        <v>105806</v>
      </c>
    </row>
    <row r="261" spans="1:8" x14ac:dyDescent="0.3">
      <c r="A261" s="4">
        <v>493</v>
      </c>
      <c r="B261" s="4">
        <v>373720</v>
      </c>
      <c r="C261" s="4">
        <v>286942</v>
      </c>
      <c r="D261" s="4">
        <v>-118</v>
      </c>
      <c r="E261" s="4">
        <v>287060</v>
      </c>
      <c r="F261" s="4">
        <v>83214</v>
      </c>
      <c r="G261" s="4">
        <v>526</v>
      </c>
      <c r="H261" s="4">
        <v>83740</v>
      </c>
    </row>
    <row r="262" spans="1:8" x14ac:dyDescent="0.3">
      <c r="A262" s="4">
        <v>289</v>
      </c>
      <c r="B262" s="4">
        <v>348064</v>
      </c>
      <c r="C262" s="4">
        <v>81463</v>
      </c>
      <c r="D262" s="4">
        <v>984</v>
      </c>
      <c r="E262" s="4">
        <v>80479</v>
      </c>
      <c r="F262" s="4">
        <v>71977</v>
      </c>
      <c r="G262" s="4">
        <v>847</v>
      </c>
      <c r="H262" s="4">
        <v>72824</v>
      </c>
    </row>
    <row r="263" spans="1:8" x14ac:dyDescent="0.3">
      <c r="A263" s="4">
        <v>698</v>
      </c>
      <c r="B263" s="4">
        <v>639848</v>
      </c>
      <c r="C263" s="4">
        <v>180439</v>
      </c>
      <c r="D263" s="4">
        <v>0</v>
      </c>
      <c r="E263" s="4">
        <v>180439</v>
      </c>
      <c r="F263" s="4">
        <v>61283</v>
      </c>
      <c r="G263" s="4">
        <v>0</v>
      </c>
      <c r="H263" s="4">
        <v>61283</v>
      </c>
    </row>
    <row r="264" spans="1:8" x14ac:dyDescent="0.3">
      <c r="A264" s="4">
        <v>568</v>
      </c>
      <c r="B264" s="4">
        <v>379205</v>
      </c>
      <c r="C264" s="4">
        <v>216805</v>
      </c>
      <c r="D264" s="4">
        <v>0</v>
      </c>
      <c r="E264" s="4">
        <v>216805</v>
      </c>
      <c r="F264" s="4">
        <v>81032</v>
      </c>
      <c r="G264" s="4">
        <v>0</v>
      </c>
      <c r="H264" s="4">
        <v>81032</v>
      </c>
    </row>
    <row r="265" spans="1:8" x14ac:dyDescent="0.3">
      <c r="A265" s="4">
        <v>843</v>
      </c>
      <c r="B265" s="4">
        <v>756168</v>
      </c>
      <c r="C265" s="4">
        <v>270059</v>
      </c>
      <c r="D265" s="4">
        <v>6807</v>
      </c>
      <c r="E265" s="4">
        <v>263252</v>
      </c>
      <c r="F265" s="4">
        <v>99194</v>
      </c>
      <c r="G265" s="4">
        <v>380</v>
      </c>
      <c r="H265" s="4">
        <v>99574</v>
      </c>
    </row>
    <row r="266" spans="1:8" x14ac:dyDescent="0.3">
      <c r="A266" s="4">
        <v>420</v>
      </c>
      <c r="B266" s="4">
        <v>424259</v>
      </c>
      <c r="C266" s="4">
        <v>204387</v>
      </c>
      <c r="D266" s="4">
        <v>0</v>
      </c>
      <c r="E266" s="4">
        <v>204387</v>
      </c>
      <c r="F266" s="4">
        <v>114904</v>
      </c>
      <c r="G266" s="4">
        <v>0</v>
      </c>
      <c r="H266" s="4">
        <v>114904</v>
      </c>
    </row>
    <row r="267" spans="1:8" x14ac:dyDescent="0.3">
      <c r="A267" s="4">
        <v>384</v>
      </c>
      <c r="B267" s="4">
        <v>249748</v>
      </c>
      <c r="C267" s="4">
        <v>172343</v>
      </c>
      <c r="D267" s="4">
        <v>0</v>
      </c>
      <c r="E267" s="4">
        <v>172343</v>
      </c>
      <c r="F267" s="4">
        <v>130061</v>
      </c>
      <c r="G267" s="4">
        <v>0</v>
      </c>
      <c r="H267" s="4">
        <v>130061</v>
      </c>
    </row>
    <row r="268" spans="1:8" x14ac:dyDescent="0.3">
      <c r="A268" s="4">
        <v>708</v>
      </c>
      <c r="B268" s="4">
        <v>706713</v>
      </c>
      <c r="C268" s="4">
        <v>301549</v>
      </c>
      <c r="D268" s="4">
        <v>-1153</v>
      </c>
      <c r="E268" s="4">
        <v>302702</v>
      </c>
      <c r="F268" s="4">
        <v>159846</v>
      </c>
      <c r="G268" s="4">
        <v>323</v>
      </c>
      <c r="H268" s="4">
        <v>160169</v>
      </c>
    </row>
    <row r="269" spans="1:8" x14ac:dyDescent="0.3">
      <c r="A269" s="4">
        <v>571</v>
      </c>
      <c r="B269" s="4">
        <v>1951548</v>
      </c>
      <c r="C269" s="4">
        <v>494898</v>
      </c>
      <c r="D269" s="4">
        <v>32</v>
      </c>
      <c r="E269" s="4">
        <v>494866</v>
      </c>
      <c r="F269" s="4">
        <v>202942</v>
      </c>
      <c r="G269" s="4">
        <v>-2098</v>
      </c>
      <c r="H269" s="4">
        <v>200844</v>
      </c>
    </row>
    <row r="270" spans="1:8" x14ac:dyDescent="0.3">
      <c r="A270" s="4">
        <v>863</v>
      </c>
      <c r="B270" s="4">
        <v>1141532</v>
      </c>
      <c r="C270" s="4">
        <v>379001</v>
      </c>
      <c r="D270" s="4">
        <v>0</v>
      </c>
      <c r="E270" s="4">
        <v>379001</v>
      </c>
      <c r="F270" s="4">
        <v>207057</v>
      </c>
      <c r="G270" s="4">
        <v>0</v>
      </c>
      <c r="H270" s="4">
        <v>207057</v>
      </c>
    </row>
    <row r="271" spans="1:8" x14ac:dyDescent="0.3">
      <c r="A271" s="4">
        <v>737</v>
      </c>
      <c r="B271" s="4">
        <v>551163</v>
      </c>
      <c r="C271" s="4">
        <v>222892</v>
      </c>
      <c r="D271" s="4">
        <v>-2058</v>
      </c>
      <c r="E271" s="4">
        <v>224950</v>
      </c>
      <c r="F271" s="4">
        <v>71999</v>
      </c>
      <c r="G271" s="4">
        <v>525</v>
      </c>
      <c r="H271" s="4">
        <v>72524</v>
      </c>
    </row>
    <row r="272" spans="1:8" x14ac:dyDescent="0.3">
      <c r="A272" s="4">
        <v>343</v>
      </c>
      <c r="B272" s="4">
        <v>610671</v>
      </c>
      <c r="C272" s="4">
        <v>316629</v>
      </c>
      <c r="D272" s="4">
        <v>-1162</v>
      </c>
      <c r="E272" s="4">
        <v>317791</v>
      </c>
      <c r="F272" s="4">
        <v>137187</v>
      </c>
      <c r="G272" s="4">
        <v>-4320</v>
      </c>
      <c r="H272" s="4">
        <v>132867</v>
      </c>
    </row>
    <row r="273" spans="1:8" x14ac:dyDescent="0.3">
      <c r="A273" s="4">
        <v>390</v>
      </c>
      <c r="B273" s="4">
        <v>663279</v>
      </c>
      <c r="C273" s="4">
        <v>263127.87623061327</v>
      </c>
      <c r="D273" s="4">
        <v>0</v>
      </c>
      <c r="E273" s="4">
        <v>263127.87623061327</v>
      </c>
      <c r="F273" s="4">
        <v>115000.6409924515</v>
      </c>
      <c r="G273" s="4">
        <v>0</v>
      </c>
      <c r="H273" s="4">
        <v>115000.6409924515</v>
      </c>
    </row>
    <row r="274" spans="1:8" x14ac:dyDescent="0.3">
      <c r="A274" s="4">
        <v>274</v>
      </c>
      <c r="B274" s="4">
        <v>808428</v>
      </c>
      <c r="C274" s="4">
        <v>432786.95513708296</v>
      </c>
      <c r="D274" s="4">
        <v>0</v>
      </c>
      <c r="E274" s="4">
        <v>432786.95513708296</v>
      </c>
      <c r="F274" s="4">
        <v>167754.98402348679</v>
      </c>
      <c r="G274" s="4">
        <v>0</v>
      </c>
      <c r="H274" s="4">
        <v>167754.98402348679</v>
      </c>
    </row>
    <row r="275" spans="1:8" x14ac:dyDescent="0.3">
      <c r="A275" s="4">
        <v>586</v>
      </c>
      <c r="B275" s="4">
        <v>1019150</v>
      </c>
      <c r="C275" s="4">
        <v>251442</v>
      </c>
      <c r="D275" s="4">
        <v>0</v>
      </c>
      <c r="E275" s="4">
        <v>251442</v>
      </c>
      <c r="F275" s="4">
        <v>159852</v>
      </c>
      <c r="G275" s="4">
        <v>0</v>
      </c>
      <c r="H275" s="4">
        <v>159852</v>
      </c>
    </row>
    <row r="276" spans="1:8" x14ac:dyDescent="0.3">
      <c r="A276" s="4">
        <v>604</v>
      </c>
      <c r="B276" s="4">
        <v>1031943</v>
      </c>
      <c r="C276" s="4">
        <v>428450</v>
      </c>
      <c r="D276" s="4">
        <v>-7401</v>
      </c>
      <c r="E276" s="4">
        <v>435851</v>
      </c>
      <c r="F276" s="4">
        <v>151009</v>
      </c>
      <c r="G276" s="4">
        <v>-219</v>
      </c>
      <c r="H276" s="4">
        <v>150790</v>
      </c>
    </row>
    <row r="277" spans="1:8" x14ac:dyDescent="0.3">
      <c r="A277" s="4">
        <v>273</v>
      </c>
      <c r="B277" s="4">
        <v>1711252</v>
      </c>
      <c r="C277" s="4">
        <v>522516</v>
      </c>
      <c r="D277" s="4">
        <v>0</v>
      </c>
      <c r="E277" s="4">
        <v>522516</v>
      </c>
      <c r="F277" s="4">
        <v>194309</v>
      </c>
      <c r="G277" s="4">
        <v>0</v>
      </c>
      <c r="H277" s="4">
        <v>194309</v>
      </c>
    </row>
    <row r="278" spans="1:8" x14ac:dyDescent="0.3">
      <c r="A278" s="4">
        <v>408</v>
      </c>
      <c r="B278" s="4">
        <v>1147784</v>
      </c>
      <c r="C278" s="4">
        <v>411841</v>
      </c>
      <c r="D278" s="4">
        <v>0</v>
      </c>
      <c r="E278" s="4">
        <v>411841</v>
      </c>
      <c r="F278" s="4">
        <v>191577</v>
      </c>
      <c r="G278" s="4">
        <v>0</v>
      </c>
      <c r="H278" s="4">
        <v>191577</v>
      </c>
    </row>
    <row r="279" spans="1:8" x14ac:dyDescent="0.3">
      <c r="A279" s="4">
        <v>505</v>
      </c>
      <c r="B279" s="4">
        <v>613858</v>
      </c>
      <c r="C279" s="4">
        <v>289940.11082672462</v>
      </c>
      <c r="D279" s="4">
        <v>0</v>
      </c>
      <c r="E279" s="4">
        <v>289940.11082672462</v>
      </c>
      <c r="F279" s="4">
        <v>75425.397415659521</v>
      </c>
      <c r="G279" s="4">
        <v>0</v>
      </c>
      <c r="H279" s="4">
        <v>75425.397415659521</v>
      </c>
    </row>
    <row r="280" spans="1:8" x14ac:dyDescent="0.3">
      <c r="A280" s="4">
        <v>387</v>
      </c>
      <c r="B280" s="4">
        <v>378780</v>
      </c>
      <c r="C280" s="4">
        <v>170876</v>
      </c>
      <c r="D280" s="4">
        <v>0</v>
      </c>
      <c r="E280" s="4">
        <v>170876</v>
      </c>
      <c r="F280" s="4">
        <v>169664</v>
      </c>
      <c r="G280" s="4">
        <v>0</v>
      </c>
      <c r="H280" s="4">
        <v>169664</v>
      </c>
    </row>
    <row r="281" spans="1:8" x14ac:dyDescent="0.3">
      <c r="A281" s="4">
        <v>787</v>
      </c>
      <c r="B281" s="4">
        <v>1254122</v>
      </c>
      <c r="C281" s="4">
        <v>356263</v>
      </c>
      <c r="D281" s="4">
        <v>0</v>
      </c>
      <c r="E281" s="4">
        <v>356263</v>
      </c>
      <c r="F281" s="4">
        <v>167091</v>
      </c>
      <c r="G281" s="4">
        <v>0</v>
      </c>
      <c r="H281" s="4">
        <v>167091</v>
      </c>
    </row>
    <row r="282" spans="1:8" x14ac:dyDescent="0.3">
      <c r="A282" s="4">
        <v>950</v>
      </c>
      <c r="B282" s="4">
        <v>734841</v>
      </c>
      <c r="C282" s="4">
        <v>217606</v>
      </c>
      <c r="D282" s="4">
        <v>-1048</v>
      </c>
      <c r="E282" s="4">
        <v>218654</v>
      </c>
      <c r="F282" s="4">
        <v>81840</v>
      </c>
      <c r="G282" s="4">
        <v>121</v>
      </c>
      <c r="H282" s="4">
        <v>81961</v>
      </c>
    </row>
    <row r="283" spans="1:8" x14ac:dyDescent="0.3">
      <c r="A283" s="4">
        <v>437</v>
      </c>
      <c r="B283" s="4">
        <v>956253</v>
      </c>
      <c r="C283" s="4">
        <v>214854</v>
      </c>
      <c r="D283" s="4">
        <v>-4451</v>
      </c>
      <c r="E283" s="4">
        <v>219305</v>
      </c>
      <c r="F283" s="4">
        <v>88601</v>
      </c>
      <c r="G283" s="4">
        <v>-409</v>
      </c>
      <c r="H283" s="4">
        <v>88192</v>
      </c>
    </row>
    <row r="284" spans="1:8" x14ac:dyDescent="0.3">
      <c r="A284" s="4">
        <v>688</v>
      </c>
      <c r="B284" s="4">
        <v>785101</v>
      </c>
      <c r="C284" s="4">
        <v>354175</v>
      </c>
      <c r="D284" s="4">
        <v>0</v>
      </c>
      <c r="E284" s="4">
        <v>354175</v>
      </c>
      <c r="F284" s="4">
        <v>351663</v>
      </c>
      <c r="G284" s="4">
        <v>0</v>
      </c>
      <c r="H284" s="4">
        <v>351663</v>
      </c>
    </row>
    <row r="285" spans="1:8" x14ac:dyDescent="0.3">
      <c r="A285" s="4">
        <v>656</v>
      </c>
      <c r="B285" s="4">
        <v>850819</v>
      </c>
      <c r="C285" s="4">
        <v>336284</v>
      </c>
      <c r="D285" s="4">
        <v>0</v>
      </c>
      <c r="E285" s="4">
        <v>336284</v>
      </c>
      <c r="F285" s="4">
        <v>138434</v>
      </c>
      <c r="G285" s="4">
        <v>0</v>
      </c>
      <c r="H285" s="4">
        <v>138434</v>
      </c>
    </row>
    <row r="286" spans="1:8" x14ac:dyDescent="0.3">
      <c r="A286" s="4">
        <v>924</v>
      </c>
      <c r="B286" s="4">
        <v>592177</v>
      </c>
      <c r="C286" s="4">
        <v>161581</v>
      </c>
      <c r="D286" s="4">
        <v>0</v>
      </c>
      <c r="E286" s="4">
        <v>161581</v>
      </c>
      <c r="F286" s="4">
        <v>0</v>
      </c>
      <c r="G286" s="4">
        <v>0</v>
      </c>
      <c r="H286" s="4">
        <v>0</v>
      </c>
    </row>
    <row r="287" spans="1:8" x14ac:dyDescent="0.3">
      <c r="A287" s="4">
        <v>212</v>
      </c>
      <c r="B287" s="4">
        <v>1093546</v>
      </c>
      <c r="C287" s="4">
        <v>280752</v>
      </c>
      <c r="D287" s="4">
        <v>2026</v>
      </c>
      <c r="E287" s="4">
        <v>278726</v>
      </c>
      <c r="F287" s="4">
        <v>136162</v>
      </c>
      <c r="G287" s="4">
        <v>542</v>
      </c>
      <c r="H287" s="4">
        <v>136704</v>
      </c>
    </row>
    <row r="288" spans="1:8" x14ac:dyDescent="0.3">
      <c r="A288" s="4">
        <v>719</v>
      </c>
      <c r="B288" s="4">
        <v>647971</v>
      </c>
      <c r="C288" s="4">
        <v>212560.38185268312</v>
      </c>
      <c r="D288" s="4">
        <v>0</v>
      </c>
      <c r="E288" s="4">
        <v>212560.38185268312</v>
      </c>
      <c r="F288" s="4">
        <v>107684.48078328998</v>
      </c>
      <c r="G288" s="4">
        <v>0</v>
      </c>
      <c r="H288" s="4">
        <v>107684.48078328998</v>
      </c>
    </row>
    <row r="289" spans="1:8" x14ac:dyDescent="0.3">
      <c r="A289" s="4">
        <v>193</v>
      </c>
      <c r="B289" s="4">
        <v>1698208</v>
      </c>
      <c r="C289" s="4">
        <v>412084</v>
      </c>
      <c r="D289" s="4">
        <v>1570</v>
      </c>
      <c r="E289" s="4">
        <v>410514</v>
      </c>
      <c r="F289" s="4">
        <v>192899</v>
      </c>
      <c r="G289" s="4">
        <v>-8555</v>
      </c>
      <c r="H289" s="4">
        <v>184344</v>
      </c>
    </row>
    <row r="290" spans="1:8" x14ac:dyDescent="0.3">
      <c r="A290" s="4">
        <v>910</v>
      </c>
      <c r="B290" s="4">
        <v>1546520</v>
      </c>
      <c r="C290" s="4">
        <v>574219</v>
      </c>
      <c r="D290" s="4">
        <v>7620</v>
      </c>
      <c r="E290" s="4">
        <v>566599</v>
      </c>
      <c r="F290" s="4">
        <v>249965</v>
      </c>
      <c r="G290" s="4">
        <v>-9329</v>
      </c>
      <c r="H290" s="4">
        <v>240636</v>
      </c>
    </row>
    <row r="291" spans="1:8" x14ac:dyDescent="0.3">
      <c r="A291" s="4">
        <v>970</v>
      </c>
      <c r="B291" s="4">
        <v>238219</v>
      </c>
      <c r="C291" s="4">
        <v>234536</v>
      </c>
      <c r="D291" s="4">
        <v>0</v>
      </c>
      <c r="E291" s="4">
        <v>234536</v>
      </c>
      <c r="F291" s="4">
        <v>79387</v>
      </c>
      <c r="G291" s="4">
        <v>0</v>
      </c>
      <c r="H291" s="4">
        <v>79387</v>
      </c>
    </row>
    <row r="292" spans="1:8" x14ac:dyDescent="0.3">
      <c r="A292" s="4">
        <v>953</v>
      </c>
      <c r="B292" s="4">
        <v>612893</v>
      </c>
      <c r="C292" s="4">
        <v>254644.53357699185</v>
      </c>
      <c r="D292" s="4">
        <v>0</v>
      </c>
      <c r="E292" s="4">
        <v>254644.53357699185</v>
      </c>
      <c r="F292" s="4">
        <v>78161.489553029693</v>
      </c>
      <c r="G292" s="4">
        <v>0</v>
      </c>
      <c r="H292" s="4">
        <v>78161.489553029693</v>
      </c>
    </row>
    <row r="293" spans="1:8" x14ac:dyDescent="0.3">
      <c r="A293" s="4">
        <v>366</v>
      </c>
      <c r="B293" s="4">
        <v>2110973</v>
      </c>
      <c r="C293" s="4">
        <v>736167</v>
      </c>
      <c r="D293" s="4">
        <v>0</v>
      </c>
      <c r="E293" s="4">
        <v>736167</v>
      </c>
      <c r="F293" s="4">
        <v>176306</v>
      </c>
      <c r="G293" s="4">
        <v>0</v>
      </c>
      <c r="H293" s="4">
        <v>176306</v>
      </c>
    </row>
    <row r="294" spans="1:8" x14ac:dyDescent="0.3">
      <c r="A294" s="4">
        <v>499</v>
      </c>
      <c r="B294" s="4">
        <v>958637</v>
      </c>
      <c r="C294" s="4">
        <v>301523</v>
      </c>
      <c r="D294" s="4">
        <v>0</v>
      </c>
      <c r="E294" s="4">
        <v>301523</v>
      </c>
      <c r="F294" s="4">
        <v>116534</v>
      </c>
      <c r="G294" s="4">
        <v>0</v>
      </c>
      <c r="H294" s="4">
        <v>116534</v>
      </c>
    </row>
    <row r="295" spans="1:8" x14ac:dyDescent="0.3">
      <c r="A295" s="4">
        <v>527</v>
      </c>
      <c r="B295" s="4">
        <v>1698725</v>
      </c>
      <c r="C295" s="4">
        <v>932041</v>
      </c>
      <c r="D295" s="4">
        <v>74</v>
      </c>
      <c r="E295" s="4">
        <v>931967</v>
      </c>
      <c r="F295" s="4">
        <v>541123</v>
      </c>
      <c r="G295" s="4">
        <v>2132</v>
      </c>
      <c r="H295" s="4">
        <v>543255</v>
      </c>
    </row>
    <row r="296" spans="1:8" x14ac:dyDescent="0.3">
      <c r="A296" s="4">
        <v>833</v>
      </c>
      <c r="B296" s="4">
        <v>417350</v>
      </c>
      <c r="C296" s="4">
        <v>117148</v>
      </c>
      <c r="D296" s="4">
        <v>0</v>
      </c>
      <c r="E296" s="4">
        <v>117148</v>
      </c>
      <c r="F296" s="4">
        <v>112106</v>
      </c>
      <c r="G296" s="4">
        <v>0</v>
      </c>
      <c r="H296" s="4">
        <v>112106</v>
      </c>
    </row>
    <row r="297" spans="1:8" x14ac:dyDescent="0.3">
      <c r="A297" s="4">
        <v>756</v>
      </c>
      <c r="B297" s="4">
        <v>389391</v>
      </c>
      <c r="C297" s="4">
        <v>109466</v>
      </c>
      <c r="D297" s="4">
        <v>2583</v>
      </c>
      <c r="E297" s="4">
        <v>106883</v>
      </c>
      <c r="F297" s="4">
        <v>0</v>
      </c>
      <c r="G297" s="4">
        <v>0</v>
      </c>
      <c r="H297" s="4">
        <v>0</v>
      </c>
    </row>
    <row r="298" spans="1:8" x14ac:dyDescent="0.3">
      <c r="A298" s="4">
        <v>640</v>
      </c>
      <c r="B298" s="4">
        <v>275522</v>
      </c>
      <c r="C298" s="4">
        <v>183427</v>
      </c>
      <c r="D298" s="4">
        <v>0</v>
      </c>
      <c r="E298" s="4">
        <v>183427</v>
      </c>
      <c r="F298" s="4">
        <v>66491</v>
      </c>
      <c r="G298" s="4">
        <v>0</v>
      </c>
      <c r="H298" s="4">
        <v>66491</v>
      </c>
    </row>
    <row r="299" spans="1:8" x14ac:dyDescent="0.3">
      <c r="A299" s="4">
        <v>818</v>
      </c>
      <c r="B299" s="4">
        <v>711148</v>
      </c>
      <c r="C299" s="4">
        <v>276516</v>
      </c>
      <c r="D299" s="4">
        <v>0</v>
      </c>
      <c r="E299" s="4">
        <v>276516</v>
      </c>
      <c r="F299" s="4">
        <v>229960</v>
      </c>
      <c r="G299" s="4">
        <v>0</v>
      </c>
      <c r="H299" s="4">
        <v>229960</v>
      </c>
    </row>
    <row r="300" spans="1:8" x14ac:dyDescent="0.3">
      <c r="A300" s="4">
        <v>500</v>
      </c>
      <c r="B300" s="4">
        <v>1123817</v>
      </c>
      <c r="C300" s="4">
        <v>383164</v>
      </c>
      <c r="D300" s="4">
        <v>0</v>
      </c>
      <c r="E300" s="4">
        <v>383164</v>
      </c>
      <c r="F300" s="4">
        <v>195292</v>
      </c>
      <c r="G300" s="4">
        <v>0</v>
      </c>
      <c r="H300" s="4">
        <v>195292</v>
      </c>
    </row>
    <row r="301" spans="1:8" x14ac:dyDescent="0.3">
      <c r="A301" s="4">
        <v>491</v>
      </c>
      <c r="B301" s="4">
        <v>754065</v>
      </c>
      <c r="C301" s="4">
        <v>312518</v>
      </c>
      <c r="D301" s="4">
        <v>-5723</v>
      </c>
      <c r="E301" s="4">
        <v>318241</v>
      </c>
      <c r="F301" s="4">
        <v>52712</v>
      </c>
      <c r="G301" s="4">
        <v>-3382</v>
      </c>
      <c r="H301" s="4">
        <v>49330</v>
      </c>
    </row>
    <row r="302" spans="1:8" x14ac:dyDescent="0.3">
      <c r="A302" s="4">
        <v>718</v>
      </c>
      <c r="B302" s="4">
        <v>1158854</v>
      </c>
      <c r="C302" s="4">
        <v>401209</v>
      </c>
      <c r="D302" s="4">
        <v>-11859</v>
      </c>
      <c r="E302" s="4">
        <v>413068</v>
      </c>
      <c r="F302" s="4">
        <v>152640</v>
      </c>
      <c r="G302" s="4">
        <v>1837</v>
      </c>
      <c r="H302" s="4">
        <v>154477</v>
      </c>
    </row>
    <row r="303" spans="1:8" x14ac:dyDescent="0.3">
      <c r="A303" s="4">
        <v>429</v>
      </c>
      <c r="B303" s="4">
        <v>687036</v>
      </c>
      <c r="C303" s="4">
        <v>0</v>
      </c>
      <c r="D303" s="4">
        <v>0</v>
      </c>
      <c r="E303" s="4">
        <v>0</v>
      </c>
      <c r="F303" s="4">
        <v>0</v>
      </c>
      <c r="G303" s="4">
        <v>0</v>
      </c>
      <c r="H303" s="4">
        <v>0</v>
      </c>
    </row>
    <row r="304" spans="1:8" x14ac:dyDescent="0.3">
      <c r="A304" s="4">
        <v>890</v>
      </c>
      <c r="B304" s="4">
        <v>1083887</v>
      </c>
      <c r="C304" s="4">
        <v>554022</v>
      </c>
      <c r="D304" s="4">
        <v>0</v>
      </c>
      <c r="E304" s="4">
        <v>554022</v>
      </c>
      <c r="F304" s="4">
        <v>50030</v>
      </c>
      <c r="G304" s="4">
        <v>0</v>
      </c>
      <c r="H304" s="4">
        <v>50030</v>
      </c>
    </row>
    <row r="305" spans="1:8" x14ac:dyDescent="0.3">
      <c r="A305" s="4">
        <v>821</v>
      </c>
      <c r="B305" s="4">
        <v>590393</v>
      </c>
      <c r="C305" s="4">
        <v>219027</v>
      </c>
      <c r="D305" s="4">
        <v>0</v>
      </c>
      <c r="E305" s="4">
        <v>219027</v>
      </c>
      <c r="F305" s="4">
        <v>98333</v>
      </c>
      <c r="G305" s="4">
        <v>1000</v>
      </c>
      <c r="H305" s="4">
        <v>99333</v>
      </c>
    </row>
    <row r="306" spans="1:8" x14ac:dyDescent="0.3">
      <c r="A306" s="4">
        <v>411</v>
      </c>
      <c r="B306" s="4">
        <v>840992</v>
      </c>
      <c r="C306" s="4">
        <v>228839</v>
      </c>
      <c r="D306" s="4">
        <v>361</v>
      </c>
      <c r="E306" s="4">
        <v>228478</v>
      </c>
      <c r="F306" s="4">
        <v>85444</v>
      </c>
      <c r="G306" s="4">
        <v>2820</v>
      </c>
      <c r="H306" s="4">
        <v>88264</v>
      </c>
    </row>
    <row r="307" spans="1:8" x14ac:dyDescent="0.3">
      <c r="A307" s="4">
        <v>376</v>
      </c>
      <c r="B307" s="4">
        <v>1173812</v>
      </c>
      <c r="C307" s="4">
        <v>478715</v>
      </c>
      <c r="D307" s="4">
        <v>-325</v>
      </c>
      <c r="E307" s="4">
        <v>479040</v>
      </c>
      <c r="F307" s="4">
        <v>182390</v>
      </c>
      <c r="G307" s="4">
        <v>-780</v>
      </c>
      <c r="H307" s="4">
        <v>181610</v>
      </c>
    </row>
    <row r="308" spans="1:8" x14ac:dyDescent="0.3">
      <c r="A308" s="4">
        <v>852</v>
      </c>
      <c r="B308" s="4">
        <v>1449649</v>
      </c>
      <c r="C308" s="4">
        <v>311457</v>
      </c>
      <c r="D308" s="4">
        <v>-2560</v>
      </c>
      <c r="E308" s="4">
        <v>314017</v>
      </c>
      <c r="F308" s="4">
        <v>139525</v>
      </c>
      <c r="G308" s="4">
        <v>4519</v>
      </c>
      <c r="H308" s="4">
        <v>144044</v>
      </c>
    </row>
    <row r="309" spans="1:8" x14ac:dyDescent="0.3">
      <c r="A309" s="4">
        <v>143</v>
      </c>
      <c r="B309" s="4">
        <v>463672</v>
      </c>
      <c r="C309" s="4">
        <v>215402.27140877867</v>
      </c>
      <c r="D309" s="4">
        <v>0</v>
      </c>
      <c r="E309" s="4">
        <v>215402.27140877867</v>
      </c>
      <c r="F309" s="4">
        <v>94699</v>
      </c>
      <c r="G309" s="4">
        <v>1054</v>
      </c>
      <c r="H309" s="4">
        <v>95753</v>
      </c>
    </row>
    <row r="310" spans="1:8" x14ac:dyDescent="0.3">
      <c r="A310" s="4">
        <v>590</v>
      </c>
      <c r="B310" s="4">
        <v>815963</v>
      </c>
      <c r="C310" s="4">
        <v>346079</v>
      </c>
      <c r="D310" s="4">
        <v>-5824</v>
      </c>
      <c r="E310" s="4">
        <v>351903</v>
      </c>
      <c r="F310" s="4">
        <v>153161</v>
      </c>
      <c r="G310" s="4">
        <v>3322</v>
      </c>
      <c r="H310" s="4">
        <v>156483</v>
      </c>
    </row>
    <row r="311" spans="1:8" x14ac:dyDescent="0.3">
      <c r="A311" s="4">
        <v>905</v>
      </c>
      <c r="B311" s="4">
        <v>801320</v>
      </c>
      <c r="C311" s="4">
        <v>315237</v>
      </c>
      <c r="D311" s="4">
        <v>2615</v>
      </c>
      <c r="E311" s="4">
        <v>312622</v>
      </c>
      <c r="F311" s="4">
        <v>119327</v>
      </c>
      <c r="G311" s="4">
        <v>5360</v>
      </c>
      <c r="H311" s="4">
        <v>124687</v>
      </c>
    </row>
    <row r="312" spans="1:8" x14ac:dyDescent="0.3">
      <c r="A312" s="4">
        <v>396</v>
      </c>
      <c r="B312" s="4">
        <v>468080</v>
      </c>
      <c r="C312" s="4">
        <v>273048</v>
      </c>
      <c r="D312" s="4">
        <v>-1665</v>
      </c>
      <c r="E312" s="4">
        <v>274713</v>
      </c>
      <c r="F312" s="4">
        <v>50405</v>
      </c>
      <c r="G312" s="4">
        <v>202</v>
      </c>
      <c r="H312" s="4">
        <v>50607</v>
      </c>
    </row>
    <row r="313" spans="1:8" x14ac:dyDescent="0.3">
      <c r="A313" s="4">
        <v>652</v>
      </c>
      <c r="B313" s="4">
        <v>345013</v>
      </c>
      <c r="C313" s="4">
        <v>125738</v>
      </c>
      <c r="D313" s="4">
        <v>0</v>
      </c>
      <c r="E313" s="4">
        <v>125738</v>
      </c>
      <c r="F313" s="4">
        <v>90665</v>
      </c>
      <c r="G313" s="4">
        <v>0</v>
      </c>
      <c r="H313" s="4">
        <v>90665</v>
      </c>
    </row>
    <row r="314" spans="1:8" x14ac:dyDescent="0.3">
      <c r="A314" s="4">
        <v>923</v>
      </c>
      <c r="B314" s="4">
        <v>574073</v>
      </c>
      <c r="C314" s="4">
        <v>156024</v>
      </c>
      <c r="D314" s="4">
        <v>0</v>
      </c>
      <c r="E314" s="4">
        <v>156024</v>
      </c>
      <c r="F314" s="4">
        <v>77445</v>
      </c>
      <c r="G314" s="4">
        <v>0</v>
      </c>
      <c r="H314" s="4">
        <v>77445</v>
      </c>
    </row>
    <row r="315" spans="1:8" x14ac:dyDescent="0.3">
      <c r="A315" s="4">
        <v>540</v>
      </c>
      <c r="B315" s="4">
        <v>2020988</v>
      </c>
      <c r="C315" s="4">
        <v>731553.33571583929</v>
      </c>
      <c r="D315" s="4">
        <v>0</v>
      </c>
      <c r="E315" s="4">
        <v>731553.33571583929</v>
      </c>
      <c r="F315" s="4">
        <v>50994.330974538687</v>
      </c>
      <c r="G315" s="4">
        <v>0</v>
      </c>
      <c r="H315" s="4">
        <v>50994.330974538687</v>
      </c>
    </row>
    <row r="316" spans="1:8" x14ac:dyDescent="0.3">
      <c r="A316" s="4">
        <v>824</v>
      </c>
      <c r="B316" s="4">
        <v>1201157</v>
      </c>
      <c r="C316" s="4">
        <v>372705</v>
      </c>
      <c r="D316" s="4">
        <v>0</v>
      </c>
      <c r="E316" s="4">
        <v>372705</v>
      </c>
      <c r="F316" s="4">
        <v>166932</v>
      </c>
      <c r="G316" s="4">
        <v>0</v>
      </c>
      <c r="H316" s="4">
        <v>166932</v>
      </c>
    </row>
    <row r="317" spans="1:8" x14ac:dyDescent="0.3">
      <c r="A317" s="4">
        <v>173</v>
      </c>
      <c r="B317" s="4">
        <v>823759</v>
      </c>
      <c r="C317" s="4">
        <v>422897</v>
      </c>
      <c r="D317" s="4">
        <v>0</v>
      </c>
      <c r="E317" s="4">
        <v>422897</v>
      </c>
      <c r="F317" s="4">
        <v>193919</v>
      </c>
      <c r="G317" s="4">
        <v>0</v>
      </c>
      <c r="H317" s="4">
        <v>193919</v>
      </c>
    </row>
    <row r="318" spans="1:8" x14ac:dyDescent="0.3">
      <c r="A318" s="4">
        <v>507</v>
      </c>
      <c r="B318" s="4">
        <v>408807</v>
      </c>
      <c r="C318" s="4">
        <v>204319</v>
      </c>
      <c r="D318" s="4">
        <v>0</v>
      </c>
      <c r="E318" s="4">
        <v>204319</v>
      </c>
      <c r="F318" s="4">
        <v>102000</v>
      </c>
      <c r="G318" s="4">
        <v>0</v>
      </c>
      <c r="H318" s="4">
        <v>102000</v>
      </c>
    </row>
    <row r="319" spans="1:8" x14ac:dyDescent="0.3">
      <c r="A319" s="4">
        <v>784</v>
      </c>
      <c r="B319" s="4">
        <v>411694</v>
      </c>
      <c r="C319" s="4">
        <v>184360</v>
      </c>
      <c r="D319" s="4">
        <v>0</v>
      </c>
      <c r="E319" s="4">
        <v>184360</v>
      </c>
      <c r="F319" s="4">
        <v>66206</v>
      </c>
      <c r="G319" s="4">
        <v>0</v>
      </c>
      <c r="H319" s="4">
        <v>66206</v>
      </c>
    </row>
    <row r="320" spans="1:8" x14ac:dyDescent="0.3">
      <c r="A320" s="4">
        <v>227</v>
      </c>
      <c r="B320" s="4">
        <v>320450</v>
      </c>
      <c r="C320" s="4">
        <v>204854</v>
      </c>
      <c r="D320" s="4">
        <v>511</v>
      </c>
      <c r="E320" s="4">
        <v>204343</v>
      </c>
      <c r="F320" s="4">
        <v>18198</v>
      </c>
      <c r="G320" s="4">
        <v>161</v>
      </c>
      <c r="H320" s="4">
        <v>18359</v>
      </c>
    </row>
    <row r="321" spans="1:8" x14ac:dyDescent="0.3">
      <c r="A321" s="4">
        <v>464</v>
      </c>
      <c r="B321" s="4">
        <v>629736</v>
      </c>
      <c r="C321" s="4">
        <v>275799</v>
      </c>
      <c r="D321" s="4">
        <v>-1535</v>
      </c>
      <c r="E321" s="4">
        <v>277334</v>
      </c>
      <c r="F321" s="4">
        <v>61766</v>
      </c>
      <c r="G321" s="4">
        <v>-1477</v>
      </c>
      <c r="H321" s="4">
        <v>60289</v>
      </c>
    </row>
    <row r="322" spans="1:8" x14ac:dyDescent="0.3">
      <c r="A322" s="4">
        <v>777</v>
      </c>
      <c r="B322" s="4">
        <v>279176</v>
      </c>
      <c r="C322" s="4">
        <v>142798</v>
      </c>
      <c r="D322" s="4">
        <v>-7457</v>
      </c>
      <c r="E322" s="4">
        <v>150255</v>
      </c>
      <c r="F322" s="4">
        <v>62483</v>
      </c>
      <c r="G322" s="4">
        <v>-874</v>
      </c>
      <c r="H322" s="4">
        <v>61609</v>
      </c>
    </row>
    <row r="323" spans="1:8" x14ac:dyDescent="0.3">
      <c r="A323" s="4">
        <v>673</v>
      </c>
      <c r="B323" s="4">
        <v>541383</v>
      </c>
      <c r="C323" s="4">
        <v>297383</v>
      </c>
      <c r="D323" s="4">
        <v>-4018</v>
      </c>
      <c r="E323" s="4">
        <v>301401</v>
      </c>
      <c r="F323" s="4">
        <v>82892</v>
      </c>
      <c r="G323" s="4">
        <v>-631</v>
      </c>
      <c r="H323" s="4">
        <v>82261</v>
      </c>
    </row>
    <row r="324" spans="1:8" x14ac:dyDescent="0.3">
      <c r="A324" s="4">
        <v>142</v>
      </c>
      <c r="B324" s="4">
        <v>918456</v>
      </c>
      <c r="C324" s="4">
        <v>388759.26192304323</v>
      </c>
      <c r="D324" s="4">
        <v>0</v>
      </c>
      <c r="E324" s="4">
        <v>388759.26192304323</v>
      </c>
      <c r="F324" s="4">
        <v>116734.81800958668</v>
      </c>
      <c r="G324" s="4">
        <v>0</v>
      </c>
      <c r="H324" s="4">
        <v>116734.81800958668</v>
      </c>
    </row>
    <row r="325" spans="1:8" x14ac:dyDescent="0.3">
      <c r="A325" s="4">
        <v>438</v>
      </c>
      <c r="B325" s="4">
        <v>636875</v>
      </c>
      <c r="C325" s="4">
        <v>275595</v>
      </c>
      <c r="D325" s="4">
        <v>-7930</v>
      </c>
      <c r="E325" s="4">
        <v>283525</v>
      </c>
      <c r="F325" s="4">
        <v>99615</v>
      </c>
      <c r="G325" s="4">
        <v>-663</v>
      </c>
      <c r="H325" s="4">
        <v>98952</v>
      </c>
    </row>
    <row r="326" spans="1:8" x14ac:dyDescent="0.3">
      <c r="A326" s="4">
        <v>638</v>
      </c>
      <c r="B326" s="4">
        <v>1155040</v>
      </c>
      <c r="C326" s="4">
        <v>433224</v>
      </c>
      <c r="D326" s="4">
        <v>0</v>
      </c>
      <c r="E326" s="4">
        <v>433224</v>
      </c>
      <c r="F326" s="4">
        <v>287766</v>
      </c>
      <c r="G326" s="4">
        <v>0</v>
      </c>
      <c r="H326" s="4">
        <v>287766</v>
      </c>
    </row>
    <row r="327" spans="1:8" x14ac:dyDescent="0.3">
      <c r="A327" s="4">
        <v>727</v>
      </c>
      <c r="B327" s="4">
        <v>1387839</v>
      </c>
      <c r="C327" s="4">
        <v>410153</v>
      </c>
      <c r="D327" s="4">
        <v>-1024</v>
      </c>
      <c r="E327" s="4">
        <v>411177</v>
      </c>
      <c r="F327" s="4">
        <v>201764</v>
      </c>
      <c r="G327" s="4">
        <v>2790</v>
      </c>
      <c r="H327" s="4">
        <v>204554</v>
      </c>
    </row>
    <row r="328" spans="1:8" x14ac:dyDescent="0.3">
      <c r="A328" s="4">
        <v>662</v>
      </c>
      <c r="B328" s="4">
        <v>613444</v>
      </c>
      <c r="C328" s="4">
        <v>0</v>
      </c>
      <c r="D328" s="4">
        <v>0</v>
      </c>
      <c r="E328" s="4">
        <v>0</v>
      </c>
      <c r="F328" s="4">
        <v>0</v>
      </c>
      <c r="G328" s="4">
        <v>0</v>
      </c>
      <c r="H328" s="4">
        <v>0</v>
      </c>
    </row>
    <row r="329" spans="1:8" x14ac:dyDescent="0.3">
      <c r="A329" s="4">
        <v>664</v>
      </c>
      <c r="B329" s="4">
        <v>420940</v>
      </c>
      <c r="C329" s="4">
        <v>183269</v>
      </c>
      <c r="D329" s="4">
        <v>6856</v>
      </c>
      <c r="E329" s="4">
        <v>176413</v>
      </c>
      <c r="F329" s="4">
        <v>30458</v>
      </c>
      <c r="G329" s="4">
        <v>961</v>
      </c>
      <c r="H329" s="4">
        <v>31419</v>
      </c>
    </row>
    <row r="330" spans="1:8" x14ac:dyDescent="0.3">
      <c r="A330" s="4">
        <v>315</v>
      </c>
      <c r="B330" s="4">
        <v>938995</v>
      </c>
      <c r="C330" s="4">
        <v>583386</v>
      </c>
      <c r="D330" s="4">
        <v>-816</v>
      </c>
      <c r="E330" s="4">
        <v>584202</v>
      </c>
      <c r="F330" s="4">
        <v>211295</v>
      </c>
      <c r="G330" s="4">
        <v>1642</v>
      </c>
      <c r="H330" s="4">
        <v>212937</v>
      </c>
    </row>
    <row r="331" spans="1:8" x14ac:dyDescent="0.3">
      <c r="A331" s="4">
        <v>306</v>
      </c>
      <c r="B331" s="4">
        <v>1651524</v>
      </c>
      <c r="C331" s="4">
        <v>599758</v>
      </c>
      <c r="D331" s="4">
        <v>0</v>
      </c>
      <c r="E331" s="4">
        <v>599758</v>
      </c>
      <c r="F331" s="4">
        <v>197706</v>
      </c>
      <c r="G331" s="4">
        <v>0</v>
      </c>
      <c r="H331" s="4">
        <v>197706</v>
      </c>
    </row>
    <row r="332" spans="1:8" x14ac:dyDescent="0.3">
      <c r="A332" s="4">
        <v>460</v>
      </c>
      <c r="B332" s="4">
        <v>772028</v>
      </c>
      <c r="C332" s="4">
        <v>218735</v>
      </c>
      <c r="D332" s="4">
        <v>-5914</v>
      </c>
      <c r="E332" s="4">
        <v>224649</v>
      </c>
      <c r="F332" s="4">
        <v>289102</v>
      </c>
      <c r="G332" s="4">
        <v>-12157</v>
      </c>
      <c r="H332" s="4">
        <v>276945</v>
      </c>
    </row>
    <row r="333" spans="1:8" x14ac:dyDescent="0.3">
      <c r="A333" s="4">
        <v>704</v>
      </c>
      <c r="B333" s="4">
        <v>439575</v>
      </c>
      <c r="C333" s="4">
        <v>163486</v>
      </c>
      <c r="D333" s="4">
        <v>0</v>
      </c>
      <c r="E333" s="4">
        <v>163486</v>
      </c>
      <c r="F333" s="4">
        <v>22806</v>
      </c>
      <c r="G333" s="4">
        <v>0</v>
      </c>
      <c r="H333" s="4">
        <v>22806</v>
      </c>
    </row>
    <row r="334" spans="1:8" x14ac:dyDescent="0.3">
      <c r="A334" s="4">
        <v>900</v>
      </c>
      <c r="B334" s="4">
        <v>720642</v>
      </c>
      <c r="C334" s="4">
        <v>241526</v>
      </c>
      <c r="D334" s="4">
        <v>0</v>
      </c>
      <c r="E334" s="4">
        <v>241526</v>
      </c>
      <c r="F334" s="4">
        <v>103213</v>
      </c>
      <c r="G334" s="4">
        <v>0</v>
      </c>
      <c r="H334" s="4">
        <v>103213</v>
      </c>
    </row>
    <row r="335" spans="1:8" x14ac:dyDescent="0.3">
      <c r="A335" s="4">
        <v>674</v>
      </c>
      <c r="B335" s="4">
        <v>236607</v>
      </c>
      <c r="C335" s="4">
        <v>285600</v>
      </c>
      <c r="D335" s="4">
        <v>-634</v>
      </c>
      <c r="E335" s="4">
        <v>286234</v>
      </c>
      <c r="F335" s="4">
        <v>124053</v>
      </c>
      <c r="G335" s="4">
        <v>1224</v>
      </c>
      <c r="H335" s="4">
        <v>125277</v>
      </c>
    </row>
    <row r="336" spans="1:8" x14ac:dyDescent="0.3">
      <c r="A336" s="4">
        <v>452</v>
      </c>
      <c r="B336" s="4">
        <v>281046</v>
      </c>
      <c r="C336" s="4">
        <v>147767</v>
      </c>
      <c r="D336" s="4">
        <v>-1796</v>
      </c>
      <c r="E336" s="4">
        <v>149563</v>
      </c>
      <c r="F336" s="4">
        <v>28896</v>
      </c>
      <c r="G336" s="4">
        <v>-971</v>
      </c>
      <c r="H336" s="4">
        <v>27925</v>
      </c>
    </row>
    <row r="337" spans="1:8" x14ac:dyDescent="0.3">
      <c r="A337" s="4">
        <v>433</v>
      </c>
      <c r="B337" s="4">
        <v>578590</v>
      </c>
      <c r="C337" s="4">
        <v>25238</v>
      </c>
      <c r="D337" s="4">
        <v>88</v>
      </c>
      <c r="E337" s="4">
        <v>25150</v>
      </c>
      <c r="F337" s="4">
        <v>56290</v>
      </c>
      <c r="G337" s="4">
        <v>0</v>
      </c>
      <c r="H337" s="4">
        <v>56290</v>
      </c>
    </row>
    <row r="338" spans="1:8" x14ac:dyDescent="0.3">
      <c r="A338" s="4">
        <v>336</v>
      </c>
      <c r="B338" s="4">
        <v>1089314</v>
      </c>
      <c r="C338" s="4">
        <v>12004</v>
      </c>
      <c r="D338" s="4">
        <v>0</v>
      </c>
      <c r="E338" s="4">
        <v>12004</v>
      </c>
      <c r="F338" s="4">
        <v>99793.490948336897</v>
      </c>
      <c r="G338" s="4">
        <v>0</v>
      </c>
      <c r="H338" s="4">
        <v>99793.490948336897</v>
      </c>
    </row>
    <row r="339" spans="1:8" x14ac:dyDescent="0.3">
      <c r="A339" s="4">
        <v>878</v>
      </c>
      <c r="B339" s="4">
        <v>1763801</v>
      </c>
      <c r="C339" s="4">
        <v>352064</v>
      </c>
      <c r="D339" s="4">
        <v>0</v>
      </c>
      <c r="E339" s="4">
        <v>352064</v>
      </c>
      <c r="F339" s="4">
        <v>212758</v>
      </c>
      <c r="G339" s="4">
        <v>0</v>
      </c>
      <c r="H339" s="4">
        <v>212758</v>
      </c>
    </row>
    <row r="340" spans="1:8" x14ac:dyDescent="0.3">
      <c r="A340" s="4">
        <v>265</v>
      </c>
      <c r="B340" s="4">
        <v>1763801</v>
      </c>
      <c r="C340" s="4">
        <v>352064</v>
      </c>
      <c r="D340" s="4">
        <v>0</v>
      </c>
      <c r="E340" s="4">
        <v>352064</v>
      </c>
      <c r="F340" s="4">
        <v>212758</v>
      </c>
      <c r="G340" s="4">
        <v>0</v>
      </c>
      <c r="H340" s="4">
        <v>212758</v>
      </c>
    </row>
    <row r="341" spans="1:8" x14ac:dyDescent="0.3">
      <c r="A341" s="4">
        <v>292</v>
      </c>
      <c r="B341" s="4">
        <v>1140844</v>
      </c>
      <c r="C341" s="4">
        <v>398967</v>
      </c>
      <c r="D341" s="4">
        <v>0</v>
      </c>
      <c r="E341" s="4">
        <v>398967</v>
      </c>
      <c r="F341" s="4">
        <v>147763</v>
      </c>
      <c r="G341" s="4">
        <v>0</v>
      </c>
      <c r="H341" s="4">
        <v>147763</v>
      </c>
    </row>
    <row r="342" spans="1:8" x14ac:dyDescent="0.3">
      <c r="A342" s="4">
        <v>690</v>
      </c>
      <c r="B342" s="4">
        <v>1266269</v>
      </c>
      <c r="C342" s="4">
        <v>306931</v>
      </c>
      <c r="E342" s="4">
        <v>306931</v>
      </c>
      <c r="F342" s="4">
        <v>0</v>
      </c>
      <c r="H342" s="4">
        <v>0</v>
      </c>
    </row>
    <row r="354" spans="2:7" x14ac:dyDescent="0.3">
      <c r="B354" s="4">
        <v>348592284</v>
      </c>
      <c r="C354" s="4">
        <v>108403453.16063727</v>
      </c>
      <c r="F354" s="4">
        <v>42411287.730148308</v>
      </c>
    </row>
    <row r="355" spans="2:7" x14ac:dyDescent="0.3">
      <c r="B355" s="4">
        <v>0</v>
      </c>
    </row>
    <row r="356" spans="2:7" x14ac:dyDescent="0.3">
      <c r="B356" s="4">
        <v>348592284</v>
      </c>
    </row>
    <row r="357" spans="2:7" x14ac:dyDescent="0.3">
      <c r="B357" s="4">
        <v>0</v>
      </c>
    </row>
    <row r="358" spans="2:7" x14ac:dyDescent="0.3">
      <c r="B358" s="4">
        <v>0</v>
      </c>
    </row>
    <row r="367" spans="2:7" x14ac:dyDescent="0.3">
      <c r="D367" s="4">
        <v>-189</v>
      </c>
      <c r="G367" s="4">
        <v>0</v>
      </c>
    </row>
    <row r="379" spans="4:7" x14ac:dyDescent="0.3">
      <c r="D379" s="4">
        <v>-103263</v>
      </c>
      <c r="G379" s="4">
        <v>-74585</v>
      </c>
    </row>
    <row r="381" spans="4:7" x14ac:dyDescent="0.3">
      <c r="D381" s="4">
        <v>-103263</v>
      </c>
      <c r="G381" s="4">
        <v>-74585</v>
      </c>
    </row>
    <row r="382" spans="4:7" x14ac:dyDescent="0.3">
      <c r="D382" s="4">
        <v>-103263</v>
      </c>
      <c r="G382" s="4">
        <v>-74585</v>
      </c>
    </row>
    <row r="383" spans="4:7" x14ac:dyDescent="0.3">
      <c r="D383" s="4">
        <v>0</v>
      </c>
      <c r="G383" s="4">
        <v>0</v>
      </c>
    </row>
    <row r="386" spans="4:7" x14ac:dyDescent="0.3">
      <c r="D386" s="4">
        <v>-103263</v>
      </c>
      <c r="G386" s="4">
        <v>-74585</v>
      </c>
    </row>
    <row r="387" spans="4:7" x14ac:dyDescent="0.3">
      <c r="D387" s="4">
        <v>0</v>
      </c>
      <c r="G387" s="4">
        <v>0</v>
      </c>
    </row>
    <row r="388" spans="4:7" x14ac:dyDescent="0.3">
      <c r="D388" s="4">
        <v>0</v>
      </c>
      <c r="G388" s="4">
        <v>0</v>
      </c>
    </row>
    <row r="389" spans="4:7" x14ac:dyDescent="0.3">
      <c r="D389" s="4" t="s">
        <v>12</v>
      </c>
      <c r="G389" s="4" t="s">
        <v>13</v>
      </c>
    </row>
    <row r="390" spans="4:7" x14ac:dyDescent="0.3">
      <c r="D390" s="4">
        <v>-103263</v>
      </c>
      <c r="G390" s="4">
        <v>-74585</v>
      </c>
    </row>
    <row r="391" spans="4:7" x14ac:dyDescent="0.3">
      <c r="D391" s="4">
        <v>0</v>
      </c>
      <c r="G391" s="4">
        <v>0</v>
      </c>
    </row>
  </sheetData>
  <sheetProtection algorithmName="SHA-512" hashValue="FO2WV7WQcGowAW8S267HhezRRAhWYwI2t/1AClJHAi9yhPQ7b+UKpD9UAirKSTNlC9hkAhFovpAydJfzz8XwfA==" saltValue="WzerMcxLyEl45REUh0FgR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79834C5F4B9C4F8246D19286DFAD8A" ma:contentTypeVersion="14" ma:contentTypeDescription="Create a new document." ma:contentTypeScope="" ma:versionID="538db338a843261ac341456ffccf8532">
  <xsd:schema xmlns:xsd="http://www.w3.org/2001/XMLSchema" xmlns:xs="http://www.w3.org/2001/XMLSchema" xmlns:p="http://schemas.microsoft.com/office/2006/metadata/properties" xmlns:ns3="3f45ff03-0026-478b-8fd9-171c4737b21a" xmlns:ns4="268e341b-a97a-4e08-b981-71a0c15e1a49" targetNamespace="http://schemas.microsoft.com/office/2006/metadata/properties" ma:root="true" ma:fieldsID="07b448d0d92d29e1216511444f82a5e2" ns3:_="" ns4:_="">
    <xsd:import namespace="3f45ff03-0026-478b-8fd9-171c4737b21a"/>
    <xsd:import namespace="268e341b-a97a-4e08-b981-71a0c15e1a4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45ff03-0026-478b-8fd9-171c4737b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e341b-a97a-4e08-b981-71a0c15e1a4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f45ff03-0026-478b-8fd9-171c4737b21a" xsi:nil="true"/>
  </documentManagement>
</p:properties>
</file>

<file path=customXml/itemProps1.xml><?xml version="1.0" encoding="utf-8"?>
<ds:datastoreItem xmlns:ds="http://schemas.openxmlformats.org/officeDocument/2006/customXml" ds:itemID="{3138CD80-D016-4D9A-AF89-F6924C2DA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45ff03-0026-478b-8fd9-171c4737b21a"/>
    <ds:schemaRef ds:uri="268e341b-a97a-4e08-b981-71a0c15e1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EBF696-98AD-4A4D-8EB1-3E3FEF8948D9}">
  <ds:schemaRefs>
    <ds:schemaRef ds:uri="http://schemas.microsoft.com/sharepoint/v3/contenttype/forms"/>
  </ds:schemaRefs>
</ds:datastoreItem>
</file>

<file path=customXml/itemProps3.xml><?xml version="1.0" encoding="utf-8"?>
<ds:datastoreItem xmlns:ds="http://schemas.openxmlformats.org/officeDocument/2006/customXml" ds:itemID="{25DA68A5-27D8-4F2E-9F43-7BF8C348A570}">
  <ds:schemaRefs>
    <ds:schemaRef ds:uri="http://schemas.microsoft.com/office/2006/documentManagement/types"/>
    <ds:schemaRef ds:uri="http://purl.org/dc/terms/"/>
    <ds:schemaRef ds:uri="http://schemas.openxmlformats.org/package/2006/metadata/core-properties"/>
    <ds:schemaRef ds:uri="3f45ff03-0026-478b-8fd9-171c4737b21a"/>
    <ds:schemaRef ds:uri="http://purl.org/dc/dcmitype/"/>
    <ds:schemaRef ds:uri="268e341b-a97a-4e08-b981-71a0c15e1a49"/>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Narrative</vt:lpstr>
      <vt:lpstr>Fiscal Note</vt:lpstr>
      <vt:lpstr>Wage Floor Calculation</vt:lpstr>
      <vt:lpstr>Holiday Pay Calculation</vt:lpstr>
      <vt:lpstr>Assumptions</vt:lpstr>
      <vt:lpstr>Bill Description</vt:lpstr>
      <vt:lpstr>Managed Care</vt:lpstr>
      <vt:lpstr>Estimator data 120523</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Brenne, Kimberly A (DHS)</dc:creator>
  <cp:lastModifiedBy>Becerra, Linnea (She/Her/Hers) (DLI)</cp:lastModifiedBy>
  <dcterms:created xsi:type="dcterms:W3CDTF">2023-12-06T20:39:07Z</dcterms:created>
  <dcterms:modified xsi:type="dcterms:W3CDTF">2024-05-08T20:29:59Z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0x0101003379834C5F4B9C4F8246D19286DFAD8A</vt:lpwstr>
  </property>
</Properties>
</file>